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5"/>
  </bookViews>
  <sheets>
    <sheet name="Stavební rozpočet" sheetId="1" r:id="rId1"/>
    <sheet name="Stavební rozpočet - součet" sheetId="2" r:id="rId2"/>
    <sheet name="Výkaz výměr" sheetId="3" state="hidden" r:id="rId3"/>
    <sheet name="Harmonogram" sheetId="4" state="hidden" r:id="rId4"/>
    <sheet name="Čerpání rozpočtu a fakturace" sheetId="5" state="hidden" r:id="rId5"/>
    <sheet name="Krycí list rozpočtu" sheetId="6" r:id="rId6"/>
  </sheets>
  <definedNames/>
  <calcPr fullCalcOnLoad="1"/>
</workbook>
</file>

<file path=xl/sharedStrings.xml><?xml version="1.0" encoding="utf-8"?>
<sst xmlns="http://schemas.openxmlformats.org/spreadsheetml/2006/main" count="3667" uniqueCount="928">
  <si>
    <t>Slepý 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</si>
  <si>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</si>
  <si>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</si>
  <si>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</si>
  <si>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</si>
  <si>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</si>
  <si>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</si>
  <si>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</si>
  <si>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</si>
  <si>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</si>
  <si>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</si>
  <si>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</si>
  <si>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</si>
  <si>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</si>
  <si>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</si>
  <si>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</si>
  <si>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</si>
  <si>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</si>
  <si>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</si>
  <si>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</si>
  <si>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</si>
  <si>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</si>
  <si>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</si>
  <si>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</si>
  <si>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</si>
  <si>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</si>
  <si>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</si>
  <si>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</si>
  <si>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</si>
  <si>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</si>
  <si>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</si>
  <si>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</si>
  <si>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</si>
  <si>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</si>
  <si>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</si>
  <si>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</si>
  <si>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</si>
  <si>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</si>
  <si>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</si>
  <si>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</si>
  <si>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</si>
  <si>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</si>
  <si>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</si>
  <si>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</si>
  <si>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</si>
  <si>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</si>
  <si>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</si>
  <si>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</si>
  <si>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</si>
  <si>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</si>
  <si>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</si>
  <si>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</si>
  <si>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</si>
  <si>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</si>
  <si>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</si>
  <si>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</si>
  <si>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</si>
  <si>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</si>
  <si>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</si>
  <si>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</si>
  <si>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</si>
  <si>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</si>
  <si>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</si>
  <si>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</si>
  <si>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</si>
  <si>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</si>
  <si>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</si>
  <si>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</si>
  <si>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</si>
  <si>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</si>
  <si>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</si>
  <si>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</si>
  <si>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</si>
  <si>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</si>
  <si>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</si>
  <si>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</si>
  <si>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</si>
  <si>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</si>
  <si>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</si>
  <si>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</si>
  <si>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</si>
  <si>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</si>
  <si>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</si>
  <si>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</si>
  <si>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</si>
  <si>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</si>
  <si>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</si>
  <si>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</si>
  <si>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</si>
  <si>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</si>
  <si>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</si>
  <si>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</si>
  <si>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</si>
  <si>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</si>
  <si>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</si>
  <si>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</si>
  <si>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</si>
  <si>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</si>
  <si>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</si>
  <si>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</si>
  <si>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</si>
  <si>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</si>
  <si>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</si>
  <si>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</si>
  <si>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</si>
  <si>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</si>
  <si>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</si>
  <si>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</si>
  <si>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</si>
  <si>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</si>
  <si>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</si>
  <si>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</si>
  <si>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</si>
  <si>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</si>
  <si>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</si>
  <si>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</si>
  <si>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</si>
  <si>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</si>
  <si>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</si>
  <si>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</si>
  <si>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</si>
  <si>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</si>
  <si>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</si>
  <si>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</si>
  <si>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</si>
  <si>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</si>
  <si>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</si>
  <si>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</si>
  <si>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</si>
  <si>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</si>
  <si>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</si>
  <si>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</si>
  <si>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</si>
  <si>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</si>
  <si>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</si>
  <si>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</si>
  <si>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</si>
  <si>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</si>
  <si>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</si>
  <si>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</si>
  <si>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</si>
  <si>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</si>
  <si>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</si>
  <si>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</si>
  <si>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</si>
  <si>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</si>
  <si>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</si>
  <si>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</si>
  <si>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</si>
  <si>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</si>
  <si>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</si>
  <si>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</si>
  <si>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</si>
  <si>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</si>
  <si>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</si>
  <si>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</si>
  <si>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</si>
  <si>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</si>
  <si>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</si>
  <si>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</si>
  <si>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</si>
  <si>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</si>
  <si>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</si>
  <si>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</si>
  <si>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</si>
  <si>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</si>
  <si>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</si>
  <si>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</si>
  <si>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</si>
  <si>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</si>
  <si>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</si>
  <si>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</si>
  <si>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</si>
  <si>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</si>
  <si>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</si>
  <si>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</si>
  <si>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</si>
  <si>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</si>
  <si>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</si>
  <si>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</si>
  <si>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</si>
  <si>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</si>
  <si>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</si>
  <si>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</si>
  <si>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</si>
  <si>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</si>
  <si>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</si>
  <si>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</si>
  <si>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</si>
  <si>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</si>
  <si>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</si>
  <si>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</si>
  <si>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</si>
  <si>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</si>
  <si>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</si>
  <si>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Poznámka:</t>
  </si>
  <si>
    <t>Objekt</t>
  </si>
  <si>
    <t>01</t>
  </si>
  <si>
    <t>Kód</t>
  </si>
  <si>
    <t>121101100R00</t>
  </si>
  <si>
    <t>122101101R00</t>
  </si>
  <si>
    <t>132201110R00</t>
  </si>
  <si>
    <t>132201119R00</t>
  </si>
  <si>
    <t>167101101R00</t>
  </si>
  <si>
    <t>162701105R00</t>
  </si>
  <si>
    <t>162701109R00</t>
  </si>
  <si>
    <t>111900130VD</t>
  </si>
  <si>
    <t>171201101R00</t>
  </si>
  <si>
    <t>175101201R00</t>
  </si>
  <si>
    <t>175101101RT2</t>
  </si>
  <si>
    <t>271571111R00</t>
  </si>
  <si>
    <t>274313621R00</t>
  </si>
  <si>
    <t>274272140RT3</t>
  </si>
  <si>
    <t>274354022R00</t>
  </si>
  <si>
    <t>274361215R00</t>
  </si>
  <si>
    <t>721176224R00</t>
  </si>
  <si>
    <t>721176222R00</t>
  </si>
  <si>
    <t>273313711R00</t>
  </si>
  <si>
    <t>273351215RT1</t>
  </si>
  <si>
    <t>273351216R00</t>
  </si>
  <si>
    <t>273361921RT5</t>
  </si>
  <si>
    <t>631319175R00</t>
  </si>
  <si>
    <t>271531113R00</t>
  </si>
  <si>
    <t>311271931RT1</t>
  </si>
  <si>
    <t>317121043RT1</t>
  </si>
  <si>
    <t>317121044RT3</t>
  </si>
  <si>
    <t>317321321R00</t>
  </si>
  <si>
    <t>317351107R00</t>
  </si>
  <si>
    <t>317351108R00</t>
  </si>
  <si>
    <t>317361721R00</t>
  </si>
  <si>
    <t>342254611R00</t>
  </si>
  <si>
    <t>342948111R00</t>
  </si>
  <si>
    <t>342255020RT2</t>
  </si>
  <si>
    <t>417320034RAB</t>
  </si>
  <si>
    <t>416026128R00</t>
  </si>
  <si>
    <t>602011112RT1</t>
  </si>
  <si>
    <t>602011141RT1</t>
  </si>
  <si>
    <t>602011179RT5</t>
  </si>
  <si>
    <t>602011191R00</t>
  </si>
  <si>
    <t>602011213RT1</t>
  </si>
  <si>
    <t>620991121R00</t>
  </si>
  <si>
    <t>55392760</t>
  </si>
  <si>
    <t>631312611R00</t>
  </si>
  <si>
    <t>631319171R00</t>
  </si>
  <si>
    <t>631361921RT5</t>
  </si>
  <si>
    <t>632419104R00</t>
  </si>
  <si>
    <t>642942111RT3</t>
  </si>
  <si>
    <t>648991113RT3</t>
  </si>
  <si>
    <t>711</t>
  </si>
  <si>
    <t>711132101RZ3</t>
  </si>
  <si>
    <t>711823121RT4</t>
  </si>
  <si>
    <t>711111001RZ1</t>
  </si>
  <si>
    <t>711112001RT1</t>
  </si>
  <si>
    <t>711141559RY2</t>
  </si>
  <si>
    <t>711142559RY2</t>
  </si>
  <si>
    <t>711212000RT1</t>
  </si>
  <si>
    <t>711212002RT1</t>
  </si>
  <si>
    <t>711212601RT1</t>
  </si>
  <si>
    <t>998711101R00</t>
  </si>
  <si>
    <t>712</t>
  </si>
  <si>
    <t>712341559RY5</t>
  </si>
  <si>
    <t>998712101R00</t>
  </si>
  <si>
    <t>713</t>
  </si>
  <si>
    <t>713111111RT1</t>
  </si>
  <si>
    <t>713111211RK4</t>
  </si>
  <si>
    <t>63151413.A</t>
  </si>
  <si>
    <t>998713101R00</t>
  </si>
  <si>
    <t>721</t>
  </si>
  <si>
    <t>721176223R00</t>
  </si>
  <si>
    <t>721290111R00</t>
  </si>
  <si>
    <t>721176212R00</t>
  </si>
  <si>
    <t>721176103R00</t>
  </si>
  <si>
    <t>721176104R00</t>
  </si>
  <si>
    <t>721176105R00</t>
  </si>
  <si>
    <t>721194105R00</t>
  </si>
  <si>
    <t>721194107R00</t>
  </si>
  <si>
    <t>721194109R00</t>
  </si>
  <si>
    <t>721273200RT3</t>
  </si>
  <si>
    <t>721176115R00</t>
  </si>
  <si>
    <t>998721101R00</t>
  </si>
  <si>
    <t>722</t>
  </si>
  <si>
    <t>722172411R00</t>
  </si>
  <si>
    <t>722172412R00</t>
  </si>
  <si>
    <t>722172413R00</t>
  </si>
  <si>
    <t>722181213RT7</t>
  </si>
  <si>
    <t>722181213RT8</t>
  </si>
  <si>
    <t>722181213RU1</t>
  </si>
  <si>
    <t>722190401R00</t>
  </si>
  <si>
    <t>722220111R00</t>
  </si>
  <si>
    <t>722237124R00</t>
  </si>
  <si>
    <t>722237123R00</t>
  </si>
  <si>
    <t>722280106R00</t>
  </si>
  <si>
    <t>722290234R00</t>
  </si>
  <si>
    <t>722224211R00</t>
  </si>
  <si>
    <t>722231161R00</t>
  </si>
  <si>
    <t>722235642R00</t>
  </si>
  <si>
    <t>998722101R00</t>
  </si>
  <si>
    <t>725</t>
  </si>
  <si>
    <t>725013138RT1</t>
  </si>
  <si>
    <t>725017124R00</t>
  </si>
  <si>
    <t>725329101R00</t>
  </si>
  <si>
    <t>725814105R00</t>
  </si>
  <si>
    <t>725823111RT1</t>
  </si>
  <si>
    <t>725823114RT1</t>
  </si>
  <si>
    <t>725845111RT1</t>
  </si>
  <si>
    <t>725621260VD</t>
  </si>
  <si>
    <t>725110192VD</t>
  </si>
  <si>
    <t>725821600VD</t>
  </si>
  <si>
    <t>725017129R00</t>
  </si>
  <si>
    <t>725860201RT1</t>
  </si>
  <si>
    <t>725860213R00</t>
  </si>
  <si>
    <t>725860221RT1</t>
  </si>
  <si>
    <t>725249102R00</t>
  </si>
  <si>
    <t>725851006R00</t>
  </si>
  <si>
    <t>725249101R00</t>
  </si>
  <si>
    <t>642938081</t>
  </si>
  <si>
    <t>725534328R00</t>
  </si>
  <si>
    <t>725539105R00</t>
  </si>
  <si>
    <t>998725201R00</t>
  </si>
  <si>
    <t>726</t>
  </si>
  <si>
    <t>726212122R00</t>
  </si>
  <si>
    <t>726212161VD</t>
  </si>
  <si>
    <t>728</t>
  </si>
  <si>
    <t>728112112R00</t>
  </si>
  <si>
    <t>42981186</t>
  </si>
  <si>
    <t>728110360VD</t>
  </si>
  <si>
    <t>429822007</t>
  </si>
  <si>
    <t>429823019</t>
  </si>
  <si>
    <t>42972809</t>
  </si>
  <si>
    <t>734</t>
  </si>
  <si>
    <t>734295213R00</t>
  </si>
  <si>
    <t>762</t>
  </si>
  <si>
    <t>762332120RT2</t>
  </si>
  <si>
    <t>762332120RT3</t>
  </si>
  <si>
    <t>762331812R00</t>
  </si>
  <si>
    <t>762341220R00</t>
  </si>
  <si>
    <t>60726122</t>
  </si>
  <si>
    <t>762341811R00</t>
  </si>
  <si>
    <t>762395000R00</t>
  </si>
  <si>
    <t>762341630R00</t>
  </si>
  <si>
    <t>998762102R00</t>
  </si>
  <si>
    <t>764</t>
  </si>
  <si>
    <t>764391820R00</t>
  </si>
  <si>
    <t>764900035RAA</t>
  </si>
  <si>
    <t>764322830R00</t>
  </si>
  <si>
    <t>764511620RT2</t>
  </si>
  <si>
    <t>764223430R00</t>
  </si>
  <si>
    <t>764291430R00</t>
  </si>
  <si>
    <t>764291440R00</t>
  </si>
  <si>
    <t>764291410R00</t>
  </si>
  <si>
    <t>764252604RT1</t>
  </si>
  <si>
    <t>764259615RT1</t>
  </si>
  <si>
    <t>764554410RAB</t>
  </si>
  <si>
    <t>998764101R00</t>
  </si>
  <si>
    <t>766</t>
  </si>
  <si>
    <t>766661112R00</t>
  </si>
  <si>
    <t>766900140VD</t>
  </si>
  <si>
    <t>611601202</t>
  </si>
  <si>
    <t>766629301R00</t>
  </si>
  <si>
    <t>766629302R00</t>
  </si>
  <si>
    <t>61143021</t>
  </si>
  <si>
    <t>61143859</t>
  </si>
  <si>
    <t>7666206111VD</t>
  </si>
  <si>
    <t>7666206112VD</t>
  </si>
  <si>
    <t>7666206113VD</t>
  </si>
  <si>
    <t>766244129VD</t>
  </si>
  <si>
    <t>766244126VD</t>
  </si>
  <si>
    <t>766244130VD</t>
  </si>
  <si>
    <t>998766201R00</t>
  </si>
  <si>
    <t>771</t>
  </si>
  <si>
    <t>771101210RT1</t>
  </si>
  <si>
    <t>771475014RT2</t>
  </si>
  <si>
    <t>771575109RT6</t>
  </si>
  <si>
    <t>771578011RT3</t>
  </si>
  <si>
    <t>771579791R00</t>
  </si>
  <si>
    <t>771579795RT2</t>
  </si>
  <si>
    <t>59770102</t>
  </si>
  <si>
    <t>998771101R00</t>
  </si>
  <si>
    <t>781</t>
  </si>
  <si>
    <t>781101210RT1</t>
  </si>
  <si>
    <t>781475115R00</t>
  </si>
  <si>
    <t>781479705RT3</t>
  </si>
  <si>
    <t>781491001RT1</t>
  </si>
  <si>
    <t>597813665</t>
  </si>
  <si>
    <t>998781101R00</t>
  </si>
  <si>
    <t>783</t>
  </si>
  <si>
    <t>783782206R00</t>
  </si>
  <si>
    <t>783124121RT4</t>
  </si>
  <si>
    <t>784</t>
  </si>
  <si>
    <t>784161501R00</t>
  </si>
  <si>
    <t>784165612R00</t>
  </si>
  <si>
    <t>941955001R00</t>
  </si>
  <si>
    <t>952901111R00</t>
  </si>
  <si>
    <t>953941312R00</t>
  </si>
  <si>
    <t>44984122</t>
  </si>
  <si>
    <t>H01</t>
  </si>
  <si>
    <t>998011001R00</t>
  </si>
  <si>
    <t>M21</t>
  </si>
  <si>
    <t>210220021RT1</t>
  </si>
  <si>
    <t>210220022RT1</t>
  </si>
  <si>
    <t>210220302RT3</t>
  </si>
  <si>
    <t>210220010R00</t>
  </si>
  <si>
    <t>210999NVD</t>
  </si>
  <si>
    <t>Objekt zázemí,pergoly a přemíst. podia v areálu HZ Michálkovice</t>
  </si>
  <si>
    <t>Novostavba -SO 01 Zázemí, bufet</t>
  </si>
  <si>
    <t>Ostrava-Michálkovice</t>
  </si>
  <si>
    <t>Zkrácený popis</t>
  </si>
  <si>
    <t>Rozměry</t>
  </si>
  <si>
    <t>SO 01 Zázemí, bufet</t>
  </si>
  <si>
    <t>Odkopávky a prokopávky</t>
  </si>
  <si>
    <t>Sejmutí ornice, pl. do 400 m2, přemístění do 50 m</t>
  </si>
  <si>
    <t>8,6*6,2*0,2</t>
  </si>
  <si>
    <t>Odkopávky nezapažené v hor. 2 do 100 m3</t>
  </si>
  <si>
    <t>8,6*5,2*0,05</t>
  </si>
  <si>
    <t>Hloubené vykopávky</t>
  </si>
  <si>
    <t>Hloubení rýh š.do 60 cm v hor.3 do 50 m3, STROJNĚ</t>
  </si>
  <si>
    <t>(8,1+4,25+8,1)*0,5*0,75</t>
  </si>
  <si>
    <t>4,25*0,4*0,75</t>
  </si>
  <si>
    <t>Přípl.za lepivost,hloubení rýh 60 cm,hor.3,STROJNĚ</t>
  </si>
  <si>
    <t>Přemístění výkopku</t>
  </si>
  <si>
    <t>Nakládání výkopku z hor.1-4 v množství do 100 m3</t>
  </si>
  <si>
    <t>2,24</t>
  </si>
  <si>
    <t>8,95</t>
  </si>
  <si>
    <t>Vodorovné přemístění výkopku z hor.1-4 do 10000 m</t>
  </si>
  <si>
    <t>Příplatek k vod. přemístění hor.1-4 za další 1 km</t>
  </si>
  <si>
    <t>11,19*10</t>
  </si>
  <si>
    <t>Poplatek za skládku zeminy</t>
  </si>
  <si>
    <t>Konstrukce ze zemin</t>
  </si>
  <si>
    <t>Uložení sypaniny do násypů nezhutněných</t>
  </si>
  <si>
    <t>Obsyp objektu bez prohození sypaniny</t>
  </si>
  <si>
    <t>(8,6+5,7+8,6)*0,5*0,25</t>
  </si>
  <si>
    <t>Obsyp potrubí bez prohození sypaniny</t>
  </si>
  <si>
    <t>12,2*0,35*0,35   vč. štěrkopísku</t>
  </si>
  <si>
    <t>Základy</t>
  </si>
  <si>
    <t>Polštář základu ze štěrkopísku tříděného</t>
  </si>
  <si>
    <t>8,1*0,5*0,1*2</t>
  </si>
  <si>
    <t>4,25*0,5*0,1</t>
  </si>
  <si>
    <t>4,25*0,4*0,1</t>
  </si>
  <si>
    <t>Beton základových pasů prostý C 20/25</t>
  </si>
  <si>
    <t>8,1*0,5*0,5*2</t>
  </si>
  <si>
    <t>4,25*0,5*0,5</t>
  </si>
  <si>
    <t>4,25*0,4*0,5</t>
  </si>
  <si>
    <t>Zdivo základové z bednicích tvárnic, tl. 30 cm</t>
  </si>
  <si>
    <t>8*0,25*2</t>
  </si>
  <si>
    <t>4,45*0,25*2</t>
  </si>
  <si>
    <t>Bednění prostupu základem do 0,02 m2, dl. 0,5 m</t>
  </si>
  <si>
    <t>Výztuž základ. pásů do 12mm, ocel BSt 500S</t>
  </si>
  <si>
    <t>Potrubí KG svodné (ležaté) v zemi D 160 x 4,0 mm</t>
  </si>
  <si>
    <t>0,6   chránička</t>
  </si>
  <si>
    <t>Potrubí KG svodné (ležaté) v zemi D 110 x 3,2 mm</t>
  </si>
  <si>
    <t>2,5   chránička</t>
  </si>
  <si>
    <t>Beton základových desek prostý C 25/30</t>
  </si>
  <si>
    <t>8*5,05*0,15</t>
  </si>
  <si>
    <t>Bednění stěn základových desek - zřízení</t>
  </si>
  <si>
    <t>(8+5,05+8)*0,2</t>
  </si>
  <si>
    <t>Bednění stěn základových desek - odstranění</t>
  </si>
  <si>
    <t>Výztuž základových desek ze svařovaných sítí</t>
  </si>
  <si>
    <t>8*5,05*0,003301*1,08</t>
  </si>
  <si>
    <t>Příplatek za stržení povrchu mazaniny tl. 24 cm</t>
  </si>
  <si>
    <t>Polštář základu z kameniva hr. drceného 16-32 mm</t>
  </si>
  <si>
    <t>7,4*4,45*0,1</t>
  </si>
  <si>
    <t>(7,4+4,45)*2*0,15*0,1</t>
  </si>
  <si>
    <t>Zdi podpěrné a volné</t>
  </si>
  <si>
    <t>Zdivo z tvárnic pórobetonových HEBEL tl.250 mm</t>
  </si>
  <si>
    <t>8*2,65</t>
  </si>
  <si>
    <t>8*2,4</t>
  </si>
  <si>
    <t>4,55*(2,4+2,65)/2*2</t>
  </si>
  <si>
    <t>-2,5*1,25</t>
  </si>
  <si>
    <t>-0,9*2,45</t>
  </si>
  <si>
    <t>-0,9*2,05</t>
  </si>
  <si>
    <t>-1,5*2,05</t>
  </si>
  <si>
    <t>-0,8*0,4*4</t>
  </si>
  <si>
    <t>Překlad nosný pórobeton, světlost otv. do 105 cm</t>
  </si>
  <si>
    <t>Překlad nosný pórobeton, světlost otv. do 180 cm</t>
  </si>
  <si>
    <t>Beton překladů železový C 20/25</t>
  </si>
  <si>
    <t>3*0,25*0,15</t>
  </si>
  <si>
    <t>1,5*0,25*0,15</t>
  </si>
  <si>
    <t>Bednění překladů - zřízení</t>
  </si>
  <si>
    <t>3*0,2*2   03</t>
  </si>
  <si>
    <t>2,5*0,25</t>
  </si>
  <si>
    <t>1,5*0,2*2   04</t>
  </si>
  <si>
    <t>0,9*0,25</t>
  </si>
  <si>
    <t>Bednění překladů - odstranění</t>
  </si>
  <si>
    <t>Výztuž překladů a říms z oceli BSt 500 S</t>
  </si>
  <si>
    <t>Stěny a příčky</t>
  </si>
  <si>
    <t>Příčky z desek pórobetonových tl. 100 mm</t>
  </si>
  <si>
    <t>7,5*2,75</t>
  </si>
  <si>
    <t>-0,7*2*2</t>
  </si>
  <si>
    <t>1,8*2,75*2</t>
  </si>
  <si>
    <t>2,65*2,75</t>
  </si>
  <si>
    <t>Ukotvení příček k cihel.konstr. kotvami na hmožd.</t>
  </si>
  <si>
    <t>2,75*5</t>
  </si>
  <si>
    <t>Stropy a stropní konstrukce (pro pozemní stavby)</t>
  </si>
  <si>
    <t>Příčky z desek Ytong tl. 5 cm</t>
  </si>
  <si>
    <t>(8+8,05+8)*0,25   obezdívka nad věncem</t>
  </si>
  <si>
    <t>Ztužující věnec ŽB beton C 20/25, 25 x 20 cm</t>
  </si>
  <si>
    <t>8*2   vč. bednění, výztuže</t>
  </si>
  <si>
    <t>4,65*2</t>
  </si>
  <si>
    <t>Podhled SDK,ocel.dvouúrov.kříž.rošt, 1x RFI 15 mm</t>
  </si>
  <si>
    <t>Omítky ze suchých směsí</t>
  </si>
  <si>
    <t>Omítka jádrová Cemix 082, ručně</t>
  </si>
  <si>
    <t>(5,5+2,65)*2*2,65   101</t>
  </si>
  <si>
    <t>(1,25+2,5+1,25)*0,05</t>
  </si>
  <si>
    <t>-0,7*2</t>
  </si>
  <si>
    <t>(1,1+1,8)*2*2,65   102</t>
  </si>
  <si>
    <t>-0,8*0,4</t>
  </si>
  <si>
    <t>(0,4+0,8+0,4)*0,05</t>
  </si>
  <si>
    <t>(4+1,8)*2*2,65   103</t>
  </si>
  <si>
    <t>-0,8*0,4*2</t>
  </si>
  <si>
    <t>(0,4+0,8+0,4)*0,05*2</t>
  </si>
  <si>
    <t>(1,9+2,65)*2*2,65   104</t>
  </si>
  <si>
    <t>(2,2+1,8)*2*2,65   105</t>
  </si>
  <si>
    <t>Štuk na stěnách vnitřní Cemix 033, ručně</t>
  </si>
  <si>
    <t>(5,5+2,65)*2*1,05   101</t>
  </si>
  <si>
    <t>-0,7*0,5</t>
  </si>
  <si>
    <t>-0,9*0,55</t>
  </si>
  <si>
    <t>-2,5*0,95</t>
  </si>
  <si>
    <t>(2,2+1,8)*2*0,5</t>
  </si>
  <si>
    <t>Omítka stěn tenkovrstvá minerální Cemix</t>
  </si>
  <si>
    <t>51,03   zatíraná 2 mm</t>
  </si>
  <si>
    <t>Podklad.nátěr stěn pod tenkovr.omítky Cemix PASN</t>
  </si>
  <si>
    <t>Omítka jádrová lehčená Cemix 032 strojně</t>
  </si>
  <si>
    <t>8*2,65   SZ</t>
  </si>
  <si>
    <t>(0,4+0,8+0,4)*0,15*4</t>
  </si>
  <si>
    <t>8*2,9   JV</t>
  </si>
  <si>
    <t>(1,25+2,5+1,25)*0,15</t>
  </si>
  <si>
    <t>(2,45+0,9+2,45)*0,15</t>
  </si>
  <si>
    <t>5,05*(2,65+2,9)/2   JZ</t>
  </si>
  <si>
    <t>(2,05+1,5+2,05)*0,15</t>
  </si>
  <si>
    <t>(2,05+0,9+2,05)*0,15</t>
  </si>
  <si>
    <t>Úprava povrchů vnější</t>
  </si>
  <si>
    <t>Zakrývání výplní vnějších otvorů z lešení</t>
  </si>
  <si>
    <t>0,9*2,45</t>
  </si>
  <si>
    <t>2,5*1,25</t>
  </si>
  <si>
    <t>0,9*2,05</t>
  </si>
  <si>
    <t>1,5*2,05</t>
  </si>
  <si>
    <t>0,8*0,4*4</t>
  </si>
  <si>
    <t>Lišta rohová s tkaninou 10/10 / 2,5 m</t>
  </si>
  <si>
    <t>Podlahy a podlahové konstrukce</t>
  </si>
  <si>
    <t>Mazanina betonová tl. 5 - 8 cm C 16/20</t>
  </si>
  <si>
    <t>32,73*0,08</t>
  </si>
  <si>
    <t>Příplatek za stržení povrchu mazaniny tl. 8 cm</t>
  </si>
  <si>
    <t>Výztuž mazanin svařovanou sítí</t>
  </si>
  <si>
    <t>32,73*0,003301*1,08</t>
  </si>
  <si>
    <t>Samonivelač. stěrka BASF, ruční zpracování tl.4 mm</t>
  </si>
  <si>
    <t>Výplně otvorů</t>
  </si>
  <si>
    <t>Osazení zárubní dveřních ocelových, pl. do 2,5 m2</t>
  </si>
  <si>
    <t>Osazení parapet.desek plast. a lamin. š.nad 20cm</t>
  </si>
  <si>
    <t>1,25</t>
  </si>
  <si>
    <t>Izolace proti vodě</t>
  </si>
  <si>
    <t>Izolace proti vlhkosti svislá pásy na sucho</t>
  </si>
  <si>
    <t>5,25*1   dilatace základu</t>
  </si>
  <si>
    <t>Montáž nopové fólie svisle</t>
  </si>
  <si>
    <t>(8+5,05+8)*0,4</t>
  </si>
  <si>
    <t>Izolace proti vlhkosti vodor. nátěr ALP za studena</t>
  </si>
  <si>
    <t>8*5,05</t>
  </si>
  <si>
    <t>Izolace proti vlhkosti svis. nátěr ALP, za studena</t>
  </si>
  <si>
    <t>Izolace proti vlhk. vodorovná pásy přitavením</t>
  </si>
  <si>
    <t>40,4   vč.1x Glastek 40 s.m.</t>
  </si>
  <si>
    <t>Izolace proti vlhkosti svislá pásy přitavením</t>
  </si>
  <si>
    <t>8,42   vč.1x Glastek s.m.</t>
  </si>
  <si>
    <t>Penetrace podkladu pod hydroizolační nátěr,vč.dod.</t>
  </si>
  <si>
    <t>1*1   sprcha</t>
  </si>
  <si>
    <t>(1+1)*2</t>
  </si>
  <si>
    <t>Hydroizolační povlak - nátěr nebo stěrka</t>
  </si>
  <si>
    <t>Těsnicí pás do spoje podlaha - stěna</t>
  </si>
  <si>
    <t>1+1</t>
  </si>
  <si>
    <t>Přesun hmot pro izolace proti vodě, výšky do 6 m</t>
  </si>
  <si>
    <t>Izolace střech (živičné krytiny)</t>
  </si>
  <si>
    <t>Povlaková krytina střech do 10°, NAIP přitavením</t>
  </si>
  <si>
    <t>8,65*6,06   vč. lep. 1x Bitagit, 1x Elastek 40dekor</t>
  </si>
  <si>
    <t>Přesun hmot pro povlakové krytiny, výšky do 6 m</t>
  </si>
  <si>
    <t>Izolace tepelné</t>
  </si>
  <si>
    <t>Izolace tepelné stropů vrchem kladené volně</t>
  </si>
  <si>
    <t>7,5*4,55</t>
  </si>
  <si>
    <t>Montáž parozábrany krovů spodem s přelepením spojů</t>
  </si>
  <si>
    <t>Deska z minerální plsti ISOVER UNI tl. 180 mm</t>
  </si>
  <si>
    <t>34,13*1,06</t>
  </si>
  <si>
    <t>Přesun hmot pro izolace tepelné, výšky do 6 m</t>
  </si>
  <si>
    <t>Vnitřní kanalizace</t>
  </si>
  <si>
    <t>Potrubí KG svodné (ležaté) v zemi D 125 x 3,2 mm</t>
  </si>
  <si>
    <t>5,1+1,1</t>
  </si>
  <si>
    <t>1+1+0,8</t>
  </si>
  <si>
    <t>Zkouška těsnosti kanalizace vodou DN 125</t>
  </si>
  <si>
    <t>3,2</t>
  </si>
  <si>
    <t>5+1+1</t>
  </si>
  <si>
    <t>Potrubí KG odpadní svislé D 110 x 3,2 mm</t>
  </si>
  <si>
    <t>0,8*4</t>
  </si>
  <si>
    <t>Potrubí HT připojovací D 50 x 1,8 mm</t>
  </si>
  <si>
    <t>Potrubí HT připojovací D 75 x 1,9 mm</t>
  </si>
  <si>
    <t>Potrubí HT připojovací D 110 x 2,7 mm</t>
  </si>
  <si>
    <t>Vyvedení odpadních výpustek D 50 x 1,8</t>
  </si>
  <si>
    <t>Vyvedení odpadních výpustek D 75 x 1,9</t>
  </si>
  <si>
    <t>Vyvedení odpadních výpustek D 110 x 2,3</t>
  </si>
  <si>
    <t>Souprava ventilační střešní HL</t>
  </si>
  <si>
    <t>Potrubí HT odpadní svislé D 110 x 2,7 mm</t>
  </si>
  <si>
    <t>Přesun hmot pro vnitřní kanalizaci, výšky do 6 m</t>
  </si>
  <si>
    <t>Vnitřní vodovod</t>
  </si>
  <si>
    <t>Potrubí z PPR, D 20 x 2,8 mm, PN 16, vč.zed.výpom.</t>
  </si>
  <si>
    <t>Potrubí z PPR, D 25 x 3,5 mm, PN 16, vč.zed.výpom.</t>
  </si>
  <si>
    <t>Potrubí z PPR, D 32 x 4,4 mm, PN 16, vč.zed.výpom.</t>
  </si>
  <si>
    <t>Izolace návleková MIRELON PRO tl. stěny 13 mm</t>
  </si>
  <si>
    <t>Vyvedení a upevnění výpustek DN 15</t>
  </si>
  <si>
    <t>Nástěnka K 247, pro výtokový ventil G 1/2</t>
  </si>
  <si>
    <t>Kohout vod.kul.,2xvnitř.záv.GIACOMINI R250D DN 32</t>
  </si>
  <si>
    <t>Kohout vod.kul.,2xvnitř.záv.GIACOMINI R250D DN 25</t>
  </si>
  <si>
    <t>Tlaková zkouška vodovodního potrubí DN 32</t>
  </si>
  <si>
    <t>16+8+3</t>
  </si>
  <si>
    <t>Proplach a dezinfekce vodovod.potrubí DN 80</t>
  </si>
  <si>
    <t>Ventil mrazuvzdorný KEMPER FROSTI plus DN 15</t>
  </si>
  <si>
    <t>Ventil vod.pojistný pružinový P10-237-616, G 1/2</t>
  </si>
  <si>
    <t>Klapka vod.zpětná vodorovná CLAPET FIV.08406 DN 20</t>
  </si>
  <si>
    <t>Přesun hmot pro vnitřní vodovod, výšky do 6 m</t>
  </si>
  <si>
    <t>Zařizovací předměty</t>
  </si>
  <si>
    <t>Klozet kombi OLYMP,nádrž s armat.odpad svislý,bílý</t>
  </si>
  <si>
    <t>Umyvadlo na šrouby CUBITO 65 x 48,5 cm, bílé</t>
  </si>
  <si>
    <t>Montáž dřezů dvojitých</t>
  </si>
  <si>
    <t>Ventil rohový s filtrem IVAR.70872 DN 15 x DN 10</t>
  </si>
  <si>
    <t>Baterie umyvadlová stoján. ruční, bez otvír.odpadu</t>
  </si>
  <si>
    <t>Baterie dřezová stojánková ruční, bez otvír.odpadu</t>
  </si>
  <si>
    <t>Baterie sprchová nástěnná ruční, bez příslušenství</t>
  </si>
  <si>
    <t>Zástěna sprchová +dveře sprchové L 90x90 v.190</t>
  </si>
  <si>
    <t>Ochranné pospojování potrubí a ZP</t>
  </si>
  <si>
    <t>Výškově nastavitelné příslušenství-hadice,ruční sprcha,držák</t>
  </si>
  <si>
    <t>Kryt sifonu umyvadel CUBITO, bílý</t>
  </si>
  <si>
    <t>Sifon dřezový HL100, 6/4 ", přípoj myčka, pračka</t>
  </si>
  <si>
    <t>Sifon umyvadlový HL132, D 32, 40 mm</t>
  </si>
  <si>
    <t>Sifon sprchový PP/PE HL514, D 40/50 mm</t>
  </si>
  <si>
    <t>Montáž sprchových mís a vaniček</t>
  </si>
  <si>
    <t>Odtoková souprava pro dvojdřezy s odkap. HL28 D 40</t>
  </si>
  <si>
    <t>Montáž sprchových boxů</t>
  </si>
  <si>
    <t>Vanička sprchová keramická čtverec XENO 90x90 cm</t>
  </si>
  <si>
    <t>Ohřívač elek. zásob. závěsný DZ Dražice OKCEV 200</t>
  </si>
  <si>
    <t>Montáž elektr.ohřívačů, ostatní typy  160 l</t>
  </si>
  <si>
    <t>Přesun hmot pro zařizovací předměty, výšky do 6 m</t>
  </si>
  <si>
    <t>Instalační prefabrikáty</t>
  </si>
  <si>
    <t>Modul-BASIC WC SYSTEM, pro závěsné WC</t>
  </si>
  <si>
    <t>Ovládací tlačítko dvoučinné</t>
  </si>
  <si>
    <t>Vzduchotechnika</t>
  </si>
  <si>
    <t>Montáž potrubí plechového kruhového do d 200 mm</t>
  </si>
  <si>
    <t>1+2,4</t>
  </si>
  <si>
    <t>Spiro roura hladká d 200, délka 1 m</t>
  </si>
  <si>
    <t>D+M Digestoř 150x40 z nerez plechu, vč. spoj. mater.</t>
  </si>
  <si>
    <t>Oblouk segmentový 90°, d 200 mm Pz plech</t>
  </si>
  <si>
    <t>Rozbočka T 90 ° d = 200 mm, d1 =200 mm, Pz plech</t>
  </si>
  <si>
    <t>Mřížka čtyřhranná KMM vel. 250x250.20</t>
  </si>
  <si>
    <t>Armatury</t>
  </si>
  <si>
    <t>Filtr, vnitřní-vnitřní z. GIACOMINI R74A DN 25</t>
  </si>
  <si>
    <t>Konstrukce tesařské</t>
  </si>
  <si>
    <t>Montáž vázaných krovů pravidelných do 224 cm2</t>
  </si>
  <si>
    <t>8,5*2   pozednice</t>
  </si>
  <si>
    <t>6,06*14   vč. hranolu 10/22</t>
  </si>
  <si>
    <t>Demontáž konstrukcí krovů z hranolů do 224 cm2</t>
  </si>
  <si>
    <t>6,06*2   krokve</t>
  </si>
  <si>
    <t>0,7*2   pozednice</t>
  </si>
  <si>
    <t>M. bedn.střech rovn. z aglomer.desek šroubováním</t>
  </si>
  <si>
    <t>6,06*8,5</t>
  </si>
  <si>
    <t>Deska dřevoštěpková OSB 3 B - 4PD tl. 22 mm</t>
  </si>
  <si>
    <t>51,51*1,05</t>
  </si>
  <si>
    <t>Demontáž bednění střech rovných z prken hrubých</t>
  </si>
  <si>
    <t>6,06*0,65</t>
  </si>
  <si>
    <t>Spojovací a ochranné prostředky pro střechy</t>
  </si>
  <si>
    <t>0,16*0,1*17</t>
  </si>
  <si>
    <t>0,1*0,22*84,84</t>
  </si>
  <si>
    <t>51,51*0,022</t>
  </si>
  <si>
    <t>16,43*0,022</t>
  </si>
  <si>
    <t>Bednění okapových říms z desek OSB</t>
  </si>
  <si>
    <t>8,0*(0,5+0,245)*2</t>
  </si>
  <si>
    <t>6,06*(0,5+0,245)</t>
  </si>
  <si>
    <t>16,43*1,1</t>
  </si>
  <si>
    <t>Přesun hmot pro tesařské konstrukce, výšky do 12 m</t>
  </si>
  <si>
    <t>Konstrukce klempířské</t>
  </si>
  <si>
    <t>Demontáž závětrné lišty, rš 250 a 330 mm, do 30°</t>
  </si>
  <si>
    <t>Demontáž podokapních žlabů půlkruhových</t>
  </si>
  <si>
    <t>Demontáž oplechování okapů, TK, rš 400 mm, do 30°</t>
  </si>
  <si>
    <t>Oplechování parapetů TiZn RHEINZINK, rš. 220 mm</t>
  </si>
  <si>
    <t>2,5</t>
  </si>
  <si>
    <t>Oplechování okapů Ti Zn,živičná krytina, rš 330 mm</t>
  </si>
  <si>
    <t>8,5   3K</t>
  </si>
  <si>
    <t>Závětrná lišta z Ti Zn plechu, rš 400 mm</t>
  </si>
  <si>
    <t>6,06   4K</t>
  </si>
  <si>
    <t>Závětrná lišta z Ti Zn plechu, rš 500 mm</t>
  </si>
  <si>
    <t>8,5*2   2K čela podél. stran</t>
  </si>
  <si>
    <t>6,06   boční strana</t>
  </si>
  <si>
    <t>Spodníoplech. římsy z Ti Zn plechu, rš 630 mm</t>
  </si>
  <si>
    <t>8+8   oplech. spodní podél. strany</t>
  </si>
  <si>
    <t>Žlab podokapní půlkulatý TiZn RHEINZINK rš. 333 mm</t>
  </si>
  <si>
    <t>8,65   5K</t>
  </si>
  <si>
    <t>Kotlík závěsný TiZn RHEINZINK půlkulatý,330/100 mm</t>
  </si>
  <si>
    <t>Odpadní trouby z TiZn plechu kruhové</t>
  </si>
  <si>
    <t>3,25   5K</t>
  </si>
  <si>
    <t>Přesun hmot pro klempířské konstr., výšky do 6 m</t>
  </si>
  <si>
    <t>Konstrukce truhlářské</t>
  </si>
  <si>
    <t>Montáž dveří do zárubně,otevíravých 1kř.do 0,8 m</t>
  </si>
  <si>
    <t>Kování dveří klika-klika</t>
  </si>
  <si>
    <t>Dveře vnitřní CPL 0,2 KLASIK plné 1kř. 70x197 cm</t>
  </si>
  <si>
    <t>Montáž oken plastových plochy do 1,50 m2</t>
  </si>
  <si>
    <t>Montáž oken plastových plochy do 2,70 m2</t>
  </si>
  <si>
    <t>Okno plastové jednodílné 80 x 40 cm O, S</t>
  </si>
  <si>
    <t>Okno plastové trojkřídlé 250 x 125 cm OS+výsuvné+FIX bílé</t>
  </si>
  <si>
    <t>Dveře vchodové plastové plné 90x202+nadsv. 90x48 prosklený</t>
  </si>
  <si>
    <t>Dveře vstupní plastové dvoukř. 150x202 asym.plné</t>
  </si>
  <si>
    <t>Dveře vstupní plastové 90x202 plné</t>
  </si>
  <si>
    <t>Montáž dveří plastových vstupních jednokř.+nadsv.</t>
  </si>
  <si>
    <t>Montáž dveří plastových vstupních dvoukř.</t>
  </si>
  <si>
    <t>Montáž dveří plastových jednokř.</t>
  </si>
  <si>
    <t>Přesun hmot pro truhlářské konstr., výšky do 6 m</t>
  </si>
  <si>
    <t>Podlahy z dlaždic</t>
  </si>
  <si>
    <t>Penetrace podkladu pod dlažby</t>
  </si>
  <si>
    <t>32,73</t>
  </si>
  <si>
    <t>23,4*0,1</t>
  </si>
  <si>
    <t>Obklad soklíků keram.rovných, tmel,výška 10 cm</t>
  </si>
  <si>
    <t>(1,1+1,8)*2   102</t>
  </si>
  <si>
    <t>-0,7</t>
  </si>
  <si>
    <t>(4+1,8)*2   103</t>
  </si>
  <si>
    <t>-1,5</t>
  </si>
  <si>
    <t>(1,9+2,65)*2   104</t>
  </si>
  <si>
    <t>-0,9</t>
  </si>
  <si>
    <t>Montáž podlah keram.,hladké, tmel, 30x30 cm</t>
  </si>
  <si>
    <t>Spára podlaha - stěna, silikonem</t>
  </si>
  <si>
    <t>Příplatek za plochu podlah keram. do 5 m2 jednotl.</t>
  </si>
  <si>
    <t>1,98</t>
  </si>
  <si>
    <t>2,2</t>
  </si>
  <si>
    <t>Příplatek za spárování vodotěsnou hmotou - plošně</t>
  </si>
  <si>
    <t>Dlaždice 33,3x33,3 cm</t>
  </si>
  <si>
    <t>32,73*1,05</t>
  </si>
  <si>
    <t>Přesun hmot pro podlahy z dlaždic, výšky do 6 m</t>
  </si>
  <si>
    <t>Obklady (keramické)</t>
  </si>
  <si>
    <t>Penetrace podkladu pod obklady</t>
  </si>
  <si>
    <t>(5,5+2,65)*2*1,5   101</t>
  </si>
  <si>
    <t>-0,7*1,5</t>
  </si>
  <si>
    <t>-0,9*1,5</t>
  </si>
  <si>
    <t>-2,5*0,3</t>
  </si>
  <si>
    <t>(2,2+1,8)*2*2,05   105</t>
  </si>
  <si>
    <t>Obklad vnitřní stěn keramický, do tmele, 25x25 cm</t>
  </si>
  <si>
    <t>Přípl.za spárovací hmotu-plošně,keram.vnitř.obklad</t>
  </si>
  <si>
    <t>Montáž lišt k obkladům</t>
  </si>
  <si>
    <t>Obkládačka 20x25 světle béžová mat</t>
  </si>
  <si>
    <t>35,98*1,06</t>
  </si>
  <si>
    <t>Přesun hmot pro obklady keramické, výšky do 6 m</t>
  </si>
  <si>
    <t>Nátěry</t>
  </si>
  <si>
    <t>Nátěr tesařských konstrukcí Bochemitem QB Hobby 2x</t>
  </si>
  <si>
    <t>(0,1+0,16)*2*8,5*2</t>
  </si>
  <si>
    <t>(0,1+0,22)*2*6,06*14</t>
  </si>
  <si>
    <t>Nátěr syntetický OK "B" dvojnásobný, Paulín</t>
  </si>
  <si>
    <t>0,7*2*2   ocel. zárubně</t>
  </si>
  <si>
    <t>Malby</t>
  </si>
  <si>
    <t>Penetrace podkladu nátěrem HET, Brillant 100, 1 x</t>
  </si>
  <si>
    <t>32,73   stropy</t>
  </si>
  <si>
    <t>(1,1+1,8)*2*2,55   102</t>
  </si>
  <si>
    <t>(4+1,8)*2*2,55   103</t>
  </si>
  <si>
    <t>(1,9+2,65)*2*2,55   104</t>
  </si>
  <si>
    <t>(2,2+1,8)*2*0,55   105</t>
  </si>
  <si>
    <t>Malba HET Brillant 100, bílá, bez penetrace, 2x</t>
  </si>
  <si>
    <t>Lešení a stavební výtahy</t>
  </si>
  <si>
    <t>Lešení lehké pomocné, výška podlahy do 1,2 m</t>
  </si>
  <si>
    <t>Různé dokončovací konstrukce a práce na pozemních stavbách</t>
  </si>
  <si>
    <t>Vyčištění budov o výšce podlaží do 4 m</t>
  </si>
  <si>
    <t>Osazení hasicího přístroje na stěnu</t>
  </si>
  <si>
    <t>Přístroj hasicí práškový NEURUPPIN PG 2 PMK</t>
  </si>
  <si>
    <t>Budovy občanské výstavby</t>
  </si>
  <si>
    <t>Přesun hmot pro budovy zděné výšky do 6 m</t>
  </si>
  <si>
    <t>Elektromontáže</t>
  </si>
  <si>
    <t>Vedení uzemňovací v zemi FeZn do 120 mm2 vč.svorek</t>
  </si>
  <si>
    <t>(7,7+4,75)*2*1,05</t>
  </si>
  <si>
    <t>Vedení uzemňovací v zemi FeZn, D 8 - 10 mm</t>
  </si>
  <si>
    <t>2,8*4</t>
  </si>
  <si>
    <t>Svorka hromosvodová nad 2 šrouby /ST, SJ, SR, atd/</t>
  </si>
  <si>
    <t>Nátěr zemnícího pásku do 120 mm2</t>
  </si>
  <si>
    <t>Vnitřní elektroinstalace -svítidla, revize</t>
  </si>
  <si>
    <t>Doba výstavby:</t>
  </si>
  <si>
    <t>Začátek výstavby:</t>
  </si>
  <si>
    <t>Konec výstavby:</t>
  </si>
  <si>
    <t>Zpracováno dne:</t>
  </si>
  <si>
    <t>M.j.</t>
  </si>
  <si>
    <t>m3</t>
  </si>
  <si>
    <t>m2</t>
  </si>
  <si>
    <t>kus</t>
  </si>
  <si>
    <t>t</t>
  </si>
  <si>
    <t>m</t>
  </si>
  <si>
    <t>soubor</t>
  </si>
  <si>
    <t>ks</t>
  </si>
  <si>
    <t>kompl</t>
  </si>
  <si>
    <t>%</t>
  </si>
  <si>
    <t>sada</t>
  </si>
  <si>
    <t>Množství</t>
  </si>
  <si>
    <t>01.06.2018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</si>
  <si>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</si>
  <si>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</si>
  <si>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</si>
  <si>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</si>
  <si>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</si>
  <si>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</si>
  <si>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</si>
  <si>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</si>
  <si>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</si>
  <si>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</si>
  <si>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MO Michálkovice, ČA 325/106, Ostrava</t>
  </si>
  <si>
    <t>R.Šípek</t>
  </si>
  <si>
    <t>Celkem</t>
  </si>
  <si>
    <t>Hmotnost (t)</t>
  </si>
  <si>
    <t>Cenová</t>
  </si>
  <si>
    <t>soustava</t>
  </si>
  <si>
    <t>RTS I / 2018</t>
  </si>
  <si>
    <t>RTS I / 2017</t>
  </si>
  <si>
    <t>RTS II / 2017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</si>
  <si>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</si>
  <si>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</si>
  <si>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</si>
  <si>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</si>
  <si>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</si>
  <si>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</si>
  <si>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</si>
  <si>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</si>
  <si>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</si>
  <si>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12_</t>
  </si>
  <si>
    <t>13_</t>
  </si>
  <si>
    <t>16_</t>
  </si>
  <si>
    <t>17_</t>
  </si>
  <si>
    <t>27_</t>
  </si>
  <si>
    <t>31_</t>
  </si>
  <si>
    <t>34_</t>
  </si>
  <si>
    <t>41_</t>
  </si>
  <si>
    <t>60_</t>
  </si>
  <si>
    <t>62_</t>
  </si>
  <si>
    <t>63_</t>
  </si>
  <si>
    <t>64_</t>
  </si>
  <si>
    <t>711_</t>
  </si>
  <si>
    <t>712_</t>
  </si>
  <si>
    <t>713_</t>
  </si>
  <si>
    <t>721_</t>
  </si>
  <si>
    <t>722_</t>
  </si>
  <si>
    <t>725_</t>
  </si>
  <si>
    <t>726_</t>
  </si>
  <si>
    <t>728_</t>
  </si>
  <si>
    <t>734_</t>
  </si>
  <si>
    <t>762_</t>
  </si>
  <si>
    <t>764_</t>
  </si>
  <si>
    <t>766_</t>
  </si>
  <si>
    <t>771_</t>
  </si>
  <si>
    <t>781_</t>
  </si>
  <si>
    <t>783_</t>
  </si>
  <si>
    <t>784_</t>
  </si>
  <si>
    <t>94_</t>
  </si>
  <si>
    <t>95_</t>
  </si>
  <si>
    <t>H01_</t>
  </si>
  <si>
    <t>M21_</t>
  </si>
  <si>
    <t>01_1_</t>
  </si>
  <si>
    <t>01_2_</t>
  </si>
  <si>
    <t>01_3_</t>
  </si>
  <si>
    <t>01_4_</t>
  </si>
  <si>
    <t>01_6_</t>
  </si>
  <si>
    <t>01_71_</t>
  </si>
  <si>
    <t>01_72_</t>
  </si>
  <si>
    <t>01_73_</t>
  </si>
  <si>
    <t>01_76_</t>
  </si>
  <si>
    <t>01_77_</t>
  </si>
  <si>
    <t>01_78_</t>
  </si>
  <si>
    <t>01_9_</t>
  </si>
  <si>
    <t>01_</t>
  </si>
  <si>
    <t>Slepý stavební rozpočet - rekapitulace</t>
  </si>
  <si>
    <t>Náklady (Kč) - dodávka</t>
  </si>
  <si>
    <t>Náklady (Kč) - Montáž</t>
  </si>
  <si>
    <t>Náklady (Kč) - celkem</t>
  </si>
  <si>
    <t>Celková hmotnost (t)</t>
  </si>
  <si>
    <t>F</t>
  </si>
  <si>
    <t>T</t>
  </si>
  <si>
    <t>Výkaz výměr</t>
  </si>
  <si>
    <t>Cenová soustava</t>
  </si>
  <si>
    <t>Harmonogram</t>
  </si>
  <si>
    <t>Nh</t>
  </si>
  <si>
    <t>Zdroje</t>
  </si>
  <si>
    <t>Trvání</t>
  </si>
  <si>
    <t>Rozpočet (Kč)</t>
  </si>
  <si>
    <t>Čerpání rozpočtu a fakturace</t>
  </si>
  <si>
    <t>Rozpočtové náklady (Kč)</t>
  </si>
  <si>
    <t>Fakturovaná cena (Kč)</t>
  </si>
  <si>
    <t>Rozdíl v Kč</t>
  </si>
  <si>
    <t>Rozdíl v %</t>
  </si>
  <si>
    <t>Fakturované množství</t>
  </si>
  <si>
    <t>Rozdíl</t>
  </si>
  <si>
    <t>Uhrazená cena (Kč)</t>
  </si>
  <si>
    <t>Rozdíl úhrady v Kč</t>
  </si>
  <si>
    <t>Rozdíl úhrady v %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</si>
  <si>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</si>
  <si>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</si>
  <si>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</si>
  <si>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</si>
  <si>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</si>
  <si>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</si>
  <si>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</si>
  <si>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</si>
  <si>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</si>
  <si>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</si>
  <si>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</si>
  <si>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</si>
  <si>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</si>
  <si>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</si>
  <si>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</si>
  <si>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slepého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</si>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</sst>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53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4"/>
      <name val="Arial"/>
      <family val="0"/>
    </font>
    <font>
      <b/>
      <sz val="10"/>
      <color indexed="56"/>
      <name val="Arial"/>
      <family val="0"/>
    </font>
    <font>
      <i/>
      <sz val="10"/>
      <color indexed="63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15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5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/>
      <right/>
      <top style="thin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thin"/>
      <right/>
      <top/>
      <bottom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7" fillId="20" borderId="0" applyNumberFormat="0" applyBorder="0" applyAlignment="0" applyProtection="0"/>
    <xf numFmtId="0" fontId="38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55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49" fontId="8" fillId="33" borderId="13" xfId="0" applyNumberFormat="1" applyFont="1" applyFill="1" applyBorder="1" applyAlignment="1" applyProtection="1">
      <alignment horizontal="left" vertical="center"/>
      <protection/>
    </xf>
    <xf numFmtId="49" fontId="9" fillId="34" borderId="0" xfId="0" applyNumberFormat="1" applyFont="1" applyFill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49" fontId="9" fillId="34" borderId="0" xfId="0" applyNumberFormat="1" applyFont="1" applyFill="1" applyBorder="1" applyAlignment="1" applyProtection="1">
      <alignment horizontal="right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6" xfId="0" applyNumberFormat="1" applyFont="1" applyFill="1" applyBorder="1" applyAlignment="1" applyProtection="1">
      <alignment vertical="center"/>
      <protection/>
    </xf>
    <xf numFmtId="0" fontId="1" fillId="0" borderId="17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8" fillId="33" borderId="13" xfId="0" applyNumberFormat="1" applyFont="1" applyFill="1" applyBorder="1" applyAlignment="1" applyProtection="1">
      <alignment horizontal="right" vertical="center"/>
      <protection/>
    </xf>
    <xf numFmtId="4" fontId="9" fillId="34" borderId="0" xfId="0" applyNumberFormat="1" applyFont="1" applyFill="1" applyBorder="1" applyAlignment="1" applyProtection="1">
      <alignment horizontal="right" vertical="center"/>
      <protection/>
    </xf>
    <xf numFmtId="49" fontId="3" fillId="0" borderId="18" xfId="0" applyNumberFormat="1" applyFont="1" applyFill="1" applyBorder="1" applyAlignment="1" applyProtection="1">
      <alignment horizontal="left" vertical="center"/>
      <protection/>
    </xf>
    <xf numFmtId="49" fontId="3" fillId="0" borderId="19" xfId="0" applyNumberFormat="1" applyFont="1" applyFill="1" applyBorder="1" applyAlignment="1" applyProtection="1">
      <alignment horizontal="left" vertical="center"/>
      <protection/>
    </xf>
    <xf numFmtId="49" fontId="3" fillId="0" borderId="20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3" fillId="0" borderId="20" xfId="0" applyNumberFormat="1" applyFont="1" applyFill="1" applyBorder="1" applyAlignment="1" applyProtection="1">
      <alignment horizontal="right" vertical="center"/>
      <protection/>
    </xf>
    <xf numFmtId="49" fontId="7" fillId="0" borderId="13" xfId="0" applyNumberFormat="1" applyFont="1" applyFill="1" applyBorder="1" applyAlignment="1" applyProtection="1">
      <alignment horizontal="left" vertical="center"/>
      <protection/>
    </xf>
    <xf numFmtId="49" fontId="3" fillId="0" borderId="21" xfId="0" applyNumberFormat="1" applyFont="1" applyFill="1" applyBorder="1" applyAlignment="1" applyProtection="1">
      <alignment horizontal="left" vertical="center"/>
      <protection/>
    </xf>
    <xf numFmtId="49" fontId="3" fillId="0" borderId="18" xfId="0" applyNumberFormat="1" applyFont="1" applyFill="1" applyBorder="1" applyAlignment="1" applyProtection="1">
      <alignment horizontal="right" vertical="center"/>
      <protection/>
    </xf>
    <xf numFmtId="4" fontId="5" fillId="0" borderId="22" xfId="0" applyNumberFormat="1" applyFont="1" applyFill="1" applyBorder="1" applyAlignment="1" applyProtection="1">
      <alignment horizontal="right" vertical="center"/>
      <protection/>
    </xf>
    <xf numFmtId="4" fontId="6" fillId="0" borderId="22" xfId="0" applyNumberFormat="1" applyFont="1" applyFill="1" applyBorder="1" applyAlignment="1" applyProtection="1">
      <alignment horizontal="right" vertical="center"/>
      <protection/>
    </xf>
    <xf numFmtId="49" fontId="3" fillId="0" borderId="19" xfId="0" applyNumberFormat="1" applyFont="1" applyFill="1" applyBorder="1" applyAlignment="1" applyProtection="1">
      <alignment horizontal="right" vertical="center"/>
      <protection/>
    </xf>
    <xf numFmtId="4" fontId="8" fillId="33" borderId="23" xfId="0" applyNumberFormat="1" applyFont="1" applyFill="1" applyBorder="1" applyAlignment="1" applyProtection="1">
      <alignment horizontal="right" vertical="center"/>
      <protection/>
    </xf>
    <xf numFmtId="4" fontId="9" fillId="34" borderId="22" xfId="0" applyNumberFormat="1" applyFont="1" applyFill="1" applyBorder="1" applyAlignment="1" applyProtection="1">
      <alignment horizontal="right" vertical="center"/>
      <protection/>
    </xf>
    <xf numFmtId="4" fontId="8" fillId="33" borderId="24" xfId="0" applyNumberFormat="1" applyFont="1" applyFill="1" applyBorder="1" applyAlignment="1" applyProtection="1">
      <alignment horizontal="right" vertical="center"/>
      <protection/>
    </xf>
    <xf numFmtId="4" fontId="9" fillId="34" borderId="17" xfId="0" applyNumberFormat="1" applyFont="1" applyFill="1" applyBorder="1" applyAlignment="1" applyProtection="1">
      <alignment horizontal="right" vertical="center"/>
      <protection/>
    </xf>
    <xf numFmtId="4" fontId="5" fillId="0" borderId="17" xfId="0" applyNumberFormat="1" applyFont="1" applyFill="1" applyBorder="1" applyAlignment="1" applyProtection="1">
      <alignment horizontal="right" vertical="center"/>
      <protection/>
    </xf>
    <xf numFmtId="4" fontId="6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9" fontId="12" fillId="35" borderId="26" xfId="0" applyNumberFormat="1" applyFont="1" applyFill="1" applyBorder="1" applyAlignment="1" applyProtection="1">
      <alignment horizontal="center" vertical="center"/>
      <protection/>
    </xf>
    <xf numFmtId="49" fontId="13" fillId="0" borderId="27" xfId="0" applyNumberFormat="1" applyFont="1" applyFill="1" applyBorder="1" applyAlignment="1" applyProtection="1">
      <alignment horizontal="left" vertical="center"/>
      <protection/>
    </xf>
    <xf numFmtId="49" fontId="13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49" fontId="14" fillId="0" borderId="26" xfId="0" applyNumberFormat="1" applyFont="1" applyFill="1" applyBorder="1" applyAlignment="1" applyProtection="1">
      <alignment horizontal="left"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4" fontId="14" fillId="0" borderId="26" xfId="0" applyNumberFormat="1" applyFont="1" applyFill="1" applyBorder="1" applyAlignment="1" applyProtection="1">
      <alignment horizontal="right" vertical="center"/>
      <protection/>
    </xf>
    <xf numFmtId="49" fontId="14" fillId="0" borderId="26" xfId="0" applyNumberFormat="1" applyFont="1" applyFill="1" applyBorder="1" applyAlignment="1" applyProtection="1">
      <alignment horizontal="right" vertical="center"/>
      <protection/>
    </xf>
    <xf numFmtId="4" fontId="14" fillId="0" borderId="32" xfId="0" applyNumberFormat="1" applyFont="1" applyFill="1" applyBorder="1" applyAlignment="1" applyProtection="1">
      <alignment horizontal="right" vertical="center"/>
      <protection/>
    </xf>
    <xf numFmtId="0" fontId="1" fillId="0" borderId="33" xfId="0" applyNumberFormat="1" applyFont="1" applyFill="1" applyBorder="1" applyAlignment="1" applyProtection="1">
      <alignment vertical="center"/>
      <protection/>
    </xf>
    <xf numFmtId="0" fontId="1" fillId="0" borderId="34" xfId="0" applyNumberFormat="1" applyFont="1" applyFill="1" applyBorder="1" applyAlignment="1" applyProtection="1">
      <alignment vertical="center"/>
      <protection/>
    </xf>
    <xf numFmtId="0" fontId="1" fillId="0" borderId="35" xfId="0" applyNumberFormat="1" applyFont="1" applyFill="1" applyBorder="1" applyAlignment="1" applyProtection="1">
      <alignment vertical="center"/>
      <protection/>
    </xf>
    <xf numFmtId="4" fontId="13" fillId="35" borderId="36" xfId="0" applyNumberFormat="1" applyFont="1" applyFill="1" applyBorder="1" applyAlignment="1" applyProtection="1">
      <alignment horizontal="right" vertical="center"/>
      <protection/>
    </xf>
    <xf numFmtId="0" fontId="1" fillId="0" borderId="25" xfId="0" applyNumberFormat="1" applyFont="1" applyFill="1" applyBorder="1" applyAlignment="1" applyProtection="1">
      <alignment/>
      <protection/>
    </xf>
    <xf numFmtId="49" fontId="2" fillId="0" borderId="25" xfId="0" applyNumberFormat="1" applyFont="1" applyFill="1" applyBorder="1" applyAlignment="1" applyProtection="1">
      <alignment horizontal="center"/>
      <protection/>
    </xf>
    <xf numFmtId="0" fontId="2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37" xfId="0" applyNumberFormat="1" applyFont="1" applyFill="1" applyBorder="1" applyAlignment="1" applyProtection="1">
      <alignment horizontal="left" vertical="center" wrapText="1"/>
      <protection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6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/>
      <protection/>
    </xf>
    <xf numFmtId="0" fontId="1" fillId="0" borderId="34" xfId="0" applyNumberFormat="1" applyFont="1" applyFill="1" applyBorder="1" applyAlignment="1" applyProtection="1">
      <alignment horizontal="left" vertical="center"/>
      <protection/>
    </xf>
    <xf numFmtId="0" fontId="1" fillId="0" borderId="16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8" xfId="0" applyNumberFormat="1" applyFont="1" applyFill="1" applyBorder="1" applyAlignment="1" applyProtection="1">
      <alignment horizontal="left" vertical="center"/>
      <protection/>
    </xf>
    <xf numFmtId="0" fontId="1" fillId="0" borderId="39" xfId="0" applyNumberFormat="1" applyFont="1" applyFill="1" applyBorder="1" applyAlignment="1" applyProtection="1">
      <alignment horizontal="left" vertical="center"/>
      <protection/>
    </xf>
    <xf numFmtId="0" fontId="1" fillId="0" borderId="40" xfId="0" applyNumberFormat="1" applyFont="1" applyFill="1" applyBorder="1" applyAlignment="1" applyProtection="1">
      <alignment horizontal="left" vertical="center"/>
      <protection/>
    </xf>
    <xf numFmtId="49" fontId="3" fillId="0" borderId="41" xfId="0" applyNumberFormat="1" applyFont="1" applyFill="1" applyBorder="1" applyAlignment="1" applyProtection="1">
      <alignment horizontal="center" vertical="center"/>
      <protection/>
    </xf>
    <xf numFmtId="0" fontId="3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43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49" fontId="3" fillId="0" borderId="44" xfId="0" applyNumberFormat="1" applyFont="1" applyFill="1" applyBorder="1" applyAlignment="1" applyProtection="1">
      <alignment horizontal="right" vertical="center"/>
      <protection/>
    </xf>
    <xf numFmtId="0" fontId="3" fillId="0" borderId="45" xfId="0" applyNumberFormat="1" applyFont="1" applyFill="1" applyBorder="1" applyAlignment="1" applyProtection="1">
      <alignment horizontal="right" vertical="center"/>
      <protection/>
    </xf>
    <xf numFmtId="0" fontId="3" fillId="0" borderId="46" xfId="0" applyNumberFormat="1" applyFont="1" applyFill="1" applyBorder="1" applyAlignment="1" applyProtection="1">
      <alignment horizontal="right" vertical="center"/>
      <protection/>
    </xf>
    <xf numFmtId="49" fontId="3" fillId="0" borderId="44" xfId="0" applyNumberFormat="1" applyFont="1" applyFill="1" applyBorder="1" applyAlignment="1" applyProtection="1">
      <alignment horizontal="left" vertical="center"/>
      <protection/>
    </xf>
    <xf numFmtId="0" fontId="3" fillId="0" borderId="47" xfId="0" applyNumberFormat="1" applyFont="1" applyFill="1" applyBorder="1" applyAlignment="1" applyProtection="1">
      <alignment horizontal="left" vertical="center"/>
      <protection/>
    </xf>
    <xf numFmtId="49" fontId="8" fillId="33" borderId="13" xfId="0" applyNumberFormat="1" applyFont="1" applyFill="1" applyBorder="1" applyAlignment="1" applyProtection="1">
      <alignment horizontal="left" vertical="center"/>
      <protection/>
    </xf>
    <xf numFmtId="0" fontId="8" fillId="33" borderId="13" xfId="0" applyNumberFormat="1" applyFont="1" applyFill="1" applyBorder="1" applyAlignment="1" applyProtection="1">
      <alignment horizontal="left" vertical="center"/>
      <protection/>
    </xf>
    <xf numFmtId="49" fontId="9" fillId="34" borderId="0" xfId="0" applyNumberFormat="1" applyFont="1" applyFill="1" applyBorder="1" applyAlignment="1" applyProtection="1">
      <alignment horizontal="left" vertical="center"/>
      <protection/>
    </xf>
    <xf numFmtId="0" fontId="9" fillId="34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49" fontId="1" fillId="0" borderId="30" xfId="0" applyNumberFormat="1" applyFont="1" applyFill="1" applyBorder="1" applyAlignment="1" applyProtection="1">
      <alignment horizontal="left" vertical="center"/>
      <protection/>
    </xf>
    <xf numFmtId="49" fontId="1" fillId="0" borderId="34" xfId="0" applyNumberFormat="1" applyFont="1" applyFill="1" applyBorder="1" applyAlignment="1" applyProtection="1">
      <alignment horizontal="left" vertical="center"/>
      <protection/>
    </xf>
    <xf numFmtId="0" fontId="1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25" xfId="0" applyNumberFormat="1" applyFont="1" applyFill="1" applyBorder="1" applyAlignment="1" applyProtection="1">
      <alignment horizontal="left" vertical="center"/>
      <protection/>
    </xf>
    <xf numFmtId="0" fontId="1" fillId="0" borderId="34" xfId="0" applyNumberFormat="1" applyFont="1" applyFill="1" applyBorder="1" applyAlignment="1" applyProtection="1">
      <alignment horizontal="left" vertical="center" wrapText="1"/>
      <protection/>
    </xf>
    <xf numFmtId="0" fontId="1" fillId="0" borderId="48" xfId="0" applyNumberFormat="1" applyFont="1" applyFill="1" applyBorder="1" applyAlignment="1" applyProtection="1">
      <alignment horizontal="left" vertical="center"/>
      <protection/>
    </xf>
    <xf numFmtId="49" fontId="11" fillId="0" borderId="49" xfId="0" applyNumberFormat="1" applyFont="1" applyFill="1" applyBorder="1" applyAlignment="1" applyProtection="1">
      <alignment horizontal="center" vertical="center"/>
      <protection/>
    </xf>
    <xf numFmtId="0" fontId="11" fillId="0" borderId="49" xfId="0" applyNumberFormat="1" applyFont="1" applyFill="1" applyBorder="1" applyAlignment="1" applyProtection="1">
      <alignment horizontal="center" vertical="center"/>
      <protection/>
    </xf>
    <xf numFmtId="49" fontId="15" fillId="0" borderId="35" xfId="0" applyNumberFormat="1" applyFont="1" applyFill="1" applyBorder="1" applyAlignment="1" applyProtection="1">
      <alignment horizontal="left" vertical="center"/>
      <protection/>
    </xf>
    <xf numFmtId="0" fontId="15" fillId="0" borderId="36" xfId="0" applyNumberFormat="1" applyFont="1" applyFill="1" applyBorder="1" applyAlignment="1" applyProtection="1">
      <alignment horizontal="left" vertical="center"/>
      <protection/>
    </xf>
    <xf numFmtId="49" fontId="14" fillId="0" borderId="35" xfId="0" applyNumberFormat="1" applyFont="1" applyFill="1" applyBorder="1" applyAlignment="1" applyProtection="1">
      <alignment horizontal="left" vertical="center"/>
      <protection/>
    </xf>
    <xf numFmtId="0" fontId="14" fillId="0" borderId="36" xfId="0" applyNumberFormat="1" applyFont="1" applyFill="1" applyBorder="1" applyAlignment="1" applyProtection="1">
      <alignment horizontal="left" vertical="center"/>
      <protection/>
    </xf>
    <xf numFmtId="49" fontId="13" fillId="0" borderId="35" xfId="0" applyNumberFormat="1" applyFont="1" applyFill="1" applyBorder="1" applyAlignment="1" applyProtection="1">
      <alignment horizontal="left" vertical="center"/>
      <protection/>
    </xf>
    <xf numFmtId="0" fontId="13" fillId="0" borderId="36" xfId="0" applyNumberFormat="1" applyFont="1" applyFill="1" applyBorder="1" applyAlignment="1" applyProtection="1">
      <alignment horizontal="left" vertical="center"/>
      <protection/>
    </xf>
    <xf numFmtId="49" fontId="13" fillId="35" borderId="35" xfId="0" applyNumberFormat="1" applyFont="1" applyFill="1" applyBorder="1" applyAlignment="1" applyProtection="1">
      <alignment horizontal="left" vertical="center"/>
      <protection/>
    </xf>
    <xf numFmtId="0" fontId="13" fillId="35" borderId="49" xfId="0" applyNumberFormat="1" applyFont="1" applyFill="1" applyBorder="1" applyAlignment="1" applyProtection="1">
      <alignment horizontal="left" vertical="center"/>
      <protection/>
    </xf>
    <xf numFmtId="49" fontId="14" fillId="0" borderId="24" xfId="0" applyNumberFormat="1" applyFont="1" applyFill="1" applyBorder="1" applyAlignment="1" applyProtection="1">
      <alignment horizontal="left" vertical="center"/>
      <protection/>
    </xf>
    <xf numFmtId="0" fontId="14" fillId="0" borderId="13" xfId="0" applyNumberFormat="1" applyFont="1" applyFill="1" applyBorder="1" applyAlignment="1" applyProtection="1">
      <alignment horizontal="left" vertical="center"/>
      <protection/>
    </xf>
    <xf numFmtId="0" fontId="14" fillId="0" borderId="23" xfId="0" applyNumberFormat="1" applyFont="1" applyFill="1" applyBorder="1" applyAlignment="1" applyProtection="1">
      <alignment horizontal="left" vertical="center"/>
      <protection/>
    </xf>
    <xf numFmtId="49" fontId="14" fillId="0" borderId="17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22" xfId="0" applyNumberFormat="1" applyFont="1" applyFill="1" applyBorder="1" applyAlignment="1" applyProtection="1">
      <alignment horizontal="left" vertical="center"/>
      <protection/>
    </xf>
    <xf numFmtId="49" fontId="14" fillId="0" borderId="50" xfId="0" applyNumberFormat="1" applyFont="1" applyFill="1" applyBorder="1" applyAlignment="1" applyProtection="1">
      <alignment horizontal="left" vertical="center"/>
      <protection/>
    </xf>
    <xf numFmtId="0" fontId="14" fillId="0" borderId="39" xfId="0" applyNumberFormat="1" applyFont="1" applyFill="1" applyBorder="1" applyAlignment="1" applyProtection="1">
      <alignment horizontal="left" vertical="center"/>
      <protection/>
    </xf>
    <xf numFmtId="0" fontId="14" fillId="0" borderId="51" xfId="0" applyNumberFormat="1" applyFont="1" applyFill="1" applyBorder="1" applyAlignment="1" applyProtection="1">
      <alignment horizontal="left" vertical="center"/>
      <protection/>
    </xf>
    <xf numFmtId="49" fontId="1" fillId="0" borderId="52" xfId="0" applyNumberFormat="1" applyFont="1" applyFill="1" applyBorder="1" applyAlignment="1" applyProtection="1">
      <alignment horizontal="left" vertical="center"/>
      <protection/>
    </xf>
    <xf numFmtId="49" fontId="1" fillId="0" borderId="53" xfId="0" applyNumberFormat="1" applyFont="1" applyFill="1" applyBorder="1" applyAlignment="1" applyProtection="1">
      <alignment horizontal="left" vertical="center"/>
      <protection/>
    </xf>
    <xf numFmtId="49" fontId="3" fillId="0" borderId="53" xfId="0" applyNumberFormat="1" applyFont="1" applyFill="1" applyBorder="1" applyAlignment="1" applyProtection="1">
      <alignment horizontal="left" vertical="center"/>
      <protection/>
    </xf>
    <xf numFmtId="49" fontId="3" fillId="0" borderId="54" xfId="0" applyNumberFormat="1" applyFont="1" applyFill="1" applyBorder="1" applyAlignment="1" applyProtection="1">
      <alignment horizontal="center" vertical="center"/>
      <protection/>
    </xf>
    <xf numFmtId="49" fontId="3" fillId="0" borderId="55" xfId="0" applyNumberFormat="1" applyFont="1" applyFill="1" applyBorder="1" applyAlignment="1" applyProtection="1">
      <alignment horizontal="center" vertical="center"/>
      <protection/>
    </xf>
    <xf numFmtId="49" fontId="3" fillId="0" borderId="27" xfId="0" applyNumberFormat="1" applyFont="1" applyFill="1" applyBorder="1" applyAlignment="1" applyProtection="1">
      <alignment horizontal="center" vertical="center"/>
      <protection/>
    </xf>
    <xf numFmtId="49" fontId="3" fillId="0" borderId="56" xfId="0" applyNumberFormat="1" applyFont="1" applyFill="1" applyBorder="1" applyAlignment="1" applyProtection="1">
      <alignment horizontal="center" vertical="center"/>
      <protection/>
    </xf>
    <xf numFmtId="49" fontId="3" fillId="0" borderId="57" xfId="0" applyNumberFormat="1" applyFont="1" applyFill="1" applyBorder="1" applyAlignment="1" applyProtection="1">
      <alignment horizontal="center" vertical="center"/>
      <protection/>
    </xf>
    <xf numFmtId="49" fontId="4" fillId="34" borderId="26" xfId="0" applyNumberFormat="1" applyFont="1" applyFill="1" applyBorder="1" applyAlignment="1" applyProtection="1">
      <alignment horizontal="left" vertical="center"/>
      <protection/>
    </xf>
    <xf numFmtId="49" fontId="9" fillId="34" borderId="26" xfId="0" applyNumberFormat="1" applyFont="1" applyFill="1" applyBorder="1" applyAlignment="1" applyProtection="1">
      <alignment horizontal="left" vertical="center"/>
      <protection/>
    </xf>
    <xf numFmtId="4" fontId="9" fillId="34" borderId="26" xfId="0" applyNumberFormat="1" applyFont="1" applyFill="1" applyBorder="1" applyAlignment="1" applyProtection="1">
      <alignment horizontal="right" vertical="center"/>
      <protection/>
    </xf>
    <xf numFmtId="49" fontId="9" fillId="34" borderId="26" xfId="0" applyNumberFormat="1" applyFont="1" applyFill="1" applyBorder="1" applyAlignment="1" applyProtection="1">
      <alignment horizontal="right" vertical="center"/>
      <protection/>
    </xf>
    <xf numFmtId="49" fontId="5" fillId="0" borderId="26" xfId="0" applyNumberFormat="1" applyFont="1" applyFill="1" applyBorder="1" applyAlignment="1" applyProtection="1">
      <alignment horizontal="left" vertical="center"/>
      <protection/>
    </xf>
    <xf numFmtId="4" fontId="5" fillId="0" borderId="26" xfId="0" applyNumberFormat="1" applyFont="1" applyFill="1" applyBorder="1" applyAlignment="1" applyProtection="1">
      <alignment horizontal="right" vertical="center"/>
      <protection/>
    </xf>
    <xf numFmtId="49" fontId="5" fillId="0" borderId="26" xfId="0" applyNumberFormat="1" applyFont="1" applyFill="1" applyBorder="1" applyAlignment="1" applyProtection="1">
      <alignment horizontal="right" vertical="center"/>
      <protection/>
    </xf>
    <xf numFmtId="0" fontId="1" fillId="0" borderId="26" xfId="0" applyFont="1" applyBorder="1" applyAlignment="1">
      <alignment vertical="center"/>
    </xf>
    <xf numFmtId="49" fontId="10" fillId="0" borderId="26" xfId="0" applyNumberFormat="1" applyFont="1" applyFill="1" applyBorder="1" applyAlignment="1" applyProtection="1">
      <alignment horizontal="left" vertical="center"/>
      <protection/>
    </xf>
    <xf numFmtId="4" fontId="10" fillId="0" borderId="26" xfId="0" applyNumberFormat="1" applyFont="1" applyFill="1" applyBorder="1" applyAlignment="1" applyProtection="1">
      <alignment horizontal="right" vertical="center"/>
      <protection/>
    </xf>
    <xf numFmtId="49" fontId="6" fillId="0" borderId="26" xfId="0" applyNumberFormat="1" applyFont="1" applyFill="1" applyBorder="1" applyAlignment="1" applyProtection="1">
      <alignment horizontal="left" vertical="center"/>
      <protection/>
    </xf>
    <xf numFmtId="4" fontId="6" fillId="0" borderId="26" xfId="0" applyNumberFormat="1" applyFont="1" applyFill="1" applyBorder="1" applyAlignment="1" applyProtection="1">
      <alignment horizontal="right" vertical="center"/>
      <protection/>
    </xf>
    <xf numFmtId="49" fontId="6" fillId="0" borderId="26" xfId="0" applyNumberFormat="1" applyFont="1" applyFill="1" applyBorder="1" applyAlignment="1" applyProtection="1">
      <alignment horizontal="right"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49" fontId="3" fillId="0" borderId="26" xfId="0" applyNumberFormat="1" applyFont="1" applyFill="1" applyBorder="1" applyAlignment="1" applyProtection="1">
      <alignment horizontal="left" vertical="center"/>
      <protection/>
    </xf>
    <xf numFmtId="0" fontId="3" fillId="0" borderId="26" xfId="0" applyNumberFormat="1" applyFont="1" applyFill="1" applyBorder="1" applyAlignment="1" applyProtection="1">
      <alignment horizontal="left" vertical="center"/>
      <protection/>
    </xf>
    <xf numFmtId="4" fontId="3" fillId="0" borderId="26" xfId="0" applyNumberFormat="1" applyFont="1" applyFill="1" applyBorder="1" applyAlignment="1" applyProtection="1">
      <alignment horizontal="right" vertical="center"/>
      <protection/>
    </xf>
    <xf numFmtId="49" fontId="7" fillId="0" borderId="26" xfId="0" applyNumberFormat="1" applyFont="1" applyFill="1" applyBorder="1" applyAlignment="1" applyProtection="1">
      <alignment horizontal="left" vertical="center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/>
      <protection/>
    </xf>
    <xf numFmtId="49" fontId="51" fillId="33" borderId="26" xfId="0" applyNumberFormat="1" applyFont="1" applyFill="1" applyBorder="1" applyAlignment="1" applyProtection="1">
      <alignment horizontal="left" vertical="center"/>
      <protection/>
    </xf>
    <xf numFmtId="49" fontId="52" fillId="33" borderId="26" xfId="0" applyNumberFormat="1" applyFont="1" applyFill="1" applyBorder="1" applyAlignment="1" applyProtection="1">
      <alignment horizontal="left" vertical="center"/>
      <protection/>
    </xf>
    <xf numFmtId="4" fontId="52" fillId="33" borderId="26" xfId="0" applyNumberFormat="1" applyFont="1" applyFill="1" applyBorder="1" applyAlignment="1" applyProtection="1">
      <alignment horizontal="right" vertical="center"/>
      <protection/>
    </xf>
    <xf numFmtId="49" fontId="52" fillId="33" borderId="26" xfId="0" applyNumberFormat="1" applyFont="1" applyFill="1" applyBorder="1" applyAlignment="1" applyProtection="1">
      <alignment horizontal="right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26" xfId="0" applyNumberFormat="1" applyFont="1" applyFill="1" applyBorder="1" applyAlignment="1" applyProtection="1">
      <alignment horizontal="left" vertical="center"/>
      <protection/>
    </xf>
    <xf numFmtId="4" fontId="1" fillId="0" borderId="26" xfId="0" applyNumberFormat="1" applyFont="1" applyFill="1" applyBorder="1" applyAlignment="1" applyProtection="1">
      <alignment horizontal="right" vertical="center"/>
      <protection/>
    </xf>
    <xf numFmtId="49" fontId="3" fillId="0" borderId="26" xfId="0" applyNumberFormat="1" applyFont="1" applyFill="1" applyBorder="1" applyAlignment="1" applyProtection="1">
      <alignment horizontal="left" vertical="center"/>
      <protection/>
    </xf>
    <xf numFmtId="49" fontId="52" fillId="0" borderId="26" xfId="0" applyNumberFormat="1" applyFont="1" applyFill="1" applyBorder="1" applyAlignment="1" applyProtection="1">
      <alignment horizontal="left" vertical="center"/>
      <protection/>
    </xf>
    <xf numFmtId="4" fontId="52" fillId="0" borderId="26" xfId="0" applyNumberFormat="1" applyFont="1" applyFill="1" applyBorder="1" applyAlignment="1" applyProtection="1">
      <alignment horizontal="righ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228600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34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866775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866775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866775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417"/>
  <sheetViews>
    <sheetView zoomScalePageLayoutView="0" workbookViewId="0" topLeftCell="A1">
      <pane ySplit="11" topLeftCell="A27" activePane="bottomLeft" state="frozen"/>
      <selection pane="topLeft" activeCell="A1" sqref="A1"/>
      <selection pane="bottomLeft" activeCell="A12" sqref="A12:M12"/>
    </sheetView>
  </sheetViews>
  <sheetFormatPr defaultColWidth="11.57421875" defaultRowHeight="12.75"/>
  <cols>
    <col min="1" max="1" width="3.7109375" style="0" customWidth="1"/>
    <col min="2" max="2" width="6.8515625" style="0" customWidth="1"/>
    <col min="3" max="3" width="13.28125" style="0" customWidth="1"/>
    <col min="4" max="4" width="51.8515625" style="0" customWidth="1"/>
    <col min="5" max="5" width="6.421875" style="0" customWidth="1"/>
    <col min="6" max="6" width="12.8515625" style="0" customWidth="1"/>
    <col min="7" max="7" width="12.00390625" style="0" customWidth="1"/>
    <col min="8" max="10" width="14.28125" style="0" customWidth="1"/>
    <col min="11" max="12" width="11.7109375" style="0" customWidth="1"/>
    <col min="13" max="13" width="11.57421875" style="0" customWidth="1"/>
    <col min="14" max="14" width="0" style="0" hidden="1" customWidth="1"/>
    <col min="15" max="48" width="12.140625" style="0" hidden="1" customWidth="1"/>
  </cols>
  <sheetData>
    <row r="1" spans="1:13" ht="72.75" customHeight="1">
      <c r="A1" s="56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4" ht="12.75">
      <c r="A2" s="58" t="s">
        <v>1</v>
      </c>
      <c r="B2" s="59"/>
      <c r="C2" s="59"/>
      <c r="D2" s="62" t="s">
        <v>403</v>
      </c>
      <c r="E2" s="64" t="s">
        <v>770</v>
      </c>
      <c r="F2" s="59"/>
      <c r="G2" s="64" t="s">
        <v>6</v>
      </c>
      <c r="H2" s="59"/>
      <c r="I2" s="65" t="s">
        <v>792</v>
      </c>
      <c r="J2" s="65" t="s">
        <v>797</v>
      </c>
      <c r="K2" s="59"/>
      <c r="L2" s="59"/>
      <c r="M2" s="66"/>
      <c r="N2" s="17"/>
    </row>
    <row r="3" spans="1:14" ht="12.75">
      <c r="A3" s="60"/>
      <c r="B3" s="61"/>
      <c r="C3" s="61"/>
      <c r="D3" s="63"/>
      <c r="E3" s="61"/>
      <c r="F3" s="61"/>
      <c r="G3" s="61"/>
      <c r="H3" s="61"/>
      <c r="I3" s="61"/>
      <c r="J3" s="61"/>
      <c r="K3" s="61"/>
      <c r="L3" s="61"/>
      <c r="M3" s="67"/>
      <c r="N3" s="17"/>
    </row>
    <row r="4" spans="1:14" ht="12.75">
      <c r="A4" s="68" t="s">
        <v>2</v>
      </c>
      <c r="B4" s="61"/>
      <c r="C4" s="61"/>
      <c r="D4" s="69" t="s">
        <v>404</v>
      </c>
      <c r="E4" s="70" t="s">
        <v>771</v>
      </c>
      <c r="F4" s="61"/>
      <c r="G4" s="70" t="s">
        <v>6</v>
      </c>
      <c r="H4" s="61"/>
      <c r="I4" s="69" t="s">
        <v>793</v>
      </c>
      <c r="J4" s="69" t="s">
        <v>6</v>
      </c>
      <c r="K4" s="61"/>
      <c r="L4" s="61"/>
      <c r="M4" s="67"/>
      <c r="N4" s="17"/>
    </row>
    <row r="5" spans="1:14" ht="12.75">
      <c r="A5" s="60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7"/>
      <c r="N5" s="17"/>
    </row>
    <row r="6" spans="1:14" ht="12.75">
      <c r="A6" s="68" t="s">
        <v>3</v>
      </c>
      <c r="B6" s="61"/>
      <c r="C6" s="61"/>
      <c r="D6" s="69" t="s">
        <v>405</v>
      </c>
      <c r="E6" s="70" t="s">
        <v>772</v>
      </c>
      <c r="F6" s="61"/>
      <c r="G6" s="70" t="s">
        <v>6</v>
      </c>
      <c r="H6" s="61"/>
      <c r="I6" s="69" t="s">
        <v>794</v>
      </c>
      <c r="J6" s="69" t="s">
        <v>6</v>
      </c>
      <c r="K6" s="61"/>
      <c r="L6" s="61"/>
      <c r="M6" s="67"/>
      <c r="N6" s="17"/>
    </row>
    <row r="7" spans="1:14" ht="12.75">
      <c r="A7" s="60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7"/>
      <c r="N7" s="17"/>
    </row>
    <row r="8" spans="1:14" ht="12.75">
      <c r="A8" s="68" t="s">
        <v>4</v>
      </c>
      <c r="B8" s="61"/>
      <c r="C8" s="61"/>
      <c r="D8" s="69" t="s">
        <v>6</v>
      </c>
      <c r="E8" s="70" t="s">
        <v>773</v>
      </c>
      <c r="F8" s="61"/>
      <c r="G8" s="70" t="s">
        <v>786</v>
      </c>
      <c r="H8" s="61"/>
      <c r="I8" s="69" t="s">
        <v>795</v>
      </c>
      <c r="J8" s="69" t="s">
        <v>798</v>
      </c>
      <c r="K8" s="61"/>
      <c r="L8" s="61"/>
      <c r="M8" s="67"/>
      <c r="N8" s="17"/>
    </row>
    <row r="9" spans="1:14" ht="12.75">
      <c r="A9" s="71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3"/>
      <c r="N9" s="17"/>
    </row>
    <row r="10" spans="1:14" ht="12.75">
      <c r="A10" s="1" t="s">
        <v>5</v>
      </c>
      <c r="B10" s="6" t="s">
        <v>196</v>
      </c>
      <c r="C10" s="6" t="s">
        <v>198</v>
      </c>
      <c r="D10" s="6" t="s">
        <v>406</v>
      </c>
      <c r="E10" s="6" t="s">
        <v>774</v>
      </c>
      <c r="F10" s="9" t="s">
        <v>785</v>
      </c>
      <c r="G10" s="12" t="s">
        <v>787</v>
      </c>
      <c r="H10" s="74" t="s">
        <v>789</v>
      </c>
      <c r="I10" s="75"/>
      <c r="J10" s="76"/>
      <c r="K10" s="74" t="s">
        <v>800</v>
      </c>
      <c r="L10" s="76"/>
      <c r="M10" s="14" t="s">
        <v>801</v>
      </c>
      <c r="N10" s="18"/>
    </row>
    <row r="11" spans="1:24" ht="12.75">
      <c r="A11" s="117" t="s">
        <v>6</v>
      </c>
      <c r="B11" s="118" t="s">
        <v>6</v>
      </c>
      <c r="C11" s="118" t="s">
        <v>6</v>
      </c>
      <c r="D11" s="119" t="s">
        <v>407</v>
      </c>
      <c r="E11" s="118" t="s">
        <v>6</v>
      </c>
      <c r="F11" s="118" t="s">
        <v>6</v>
      </c>
      <c r="G11" s="120" t="s">
        <v>788</v>
      </c>
      <c r="H11" s="121" t="s">
        <v>790</v>
      </c>
      <c r="I11" s="122" t="s">
        <v>796</v>
      </c>
      <c r="J11" s="123" t="s">
        <v>799</v>
      </c>
      <c r="K11" s="121" t="s">
        <v>787</v>
      </c>
      <c r="L11" s="123" t="s">
        <v>799</v>
      </c>
      <c r="M11" s="124" t="s">
        <v>802</v>
      </c>
      <c r="N11" s="18"/>
      <c r="P11" s="13" t="s">
        <v>806</v>
      </c>
      <c r="Q11" s="13" t="s">
        <v>807</v>
      </c>
      <c r="R11" s="13" t="s">
        <v>808</v>
      </c>
      <c r="S11" s="13" t="s">
        <v>809</v>
      </c>
      <c r="T11" s="13" t="s">
        <v>810</v>
      </c>
      <c r="U11" s="13" t="s">
        <v>811</v>
      </c>
      <c r="V11" s="13" t="s">
        <v>812</v>
      </c>
      <c r="W11" s="13" t="s">
        <v>813</v>
      </c>
      <c r="X11" s="13" t="s">
        <v>814</v>
      </c>
    </row>
    <row r="12" spans="1:13" ht="12.75">
      <c r="A12" s="145"/>
      <c r="B12" s="146" t="s">
        <v>197</v>
      </c>
      <c r="C12" s="146"/>
      <c r="D12" s="146" t="s">
        <v>408</v>
      </c>
      <c r="E12" s="145" t="s">
        <v>6</v>
      </c>
      <c r="F12" s="145" t="s">
        <v>6</v>
      </c>
      <c r="G12" s="145" t="s">
        <v>6</v>
      </c>
      <c r="H12" s="147">
        <f>H13+H18+H23+H31+H37+H66+H88+H96+H103+H159+H167+H174+H178+H199+H203+H210+H231+H249+H271+H274+H283+H285+H310+H333+H348+H368+H383+H389+H398+H400+H405+H407</f>
        <v>0</v>
      </c>
      <c r="I12" s="147">
        <f>I13+I18+I23+I31+I37+I66+I88+I96+I103+I159+I167+I174+I178+I199+I203+I210+I231+I249+I271+I274+I283+I285+I310+I333+I348+I368+I383+I389+I398+I400+I405+I407</f>
        <v>0</v>
      </c>
      <c r="J12" s="147">
        <f>H12+I12</f>
        <v>0</v>
      </c>
      <c r="K12" s="148"/>
      <c r="L12" s="147">
        <f>L13+L18+L23+L31+L37+L66+L88+L96+L103+L159+L167+L174+L178+L199+L203+L210+L231+L249+L271+L274+L283+L285+L310+L333+L348+L368+L383+L389+L398+L400+L405+L407</f>
        <v>80.47195090000001</v>
      </c>
      <c r="M12" s="148"/>
    </row>
    <row r="13" spans="1:37" ht="12.75">
      <c r="A13" s="125"/>
      <c r="B13" s="126" t="s">
        <v>197</v>
      </c>
      <c r="C13" s="126" t="s">
        <v>18</v>
      </c>
      <c r="D13" s="126" t="s">
        <v>409</v>
      </c>
      <c r="E13" s="125" t="s">
        <v>6</v>
      </c>
      <c r="F13" s="125" t="s">
        <v>6</v>
      </c>
      <c r="G13" s="125" t="s">
        <v>6</v>
      </c>
      <c r="H13" s="127">
        <f>SUM(H14:H16)</f>
        <v>0</v>
      </c>
      <c r="I13" s="127">
        <f>SUM(I14:I16)</f>
        <v>0</v>
      </c>
      <c r="J13" s="127">
        <f>H13+I13</f>
        <v>0</v>
      </c>
      <c r="K13" s="128"/>
      <c r="L13" s="127">
        <f>SUM(L14:L16)</f>
        <v>0</v>
      </c>
      <c r="M13" s="128"/>
      <c r="Y13" s="13" t="s">
        <v>197</v>
      </c>
      <c r="AI13" s="22">
        <f>SUM(Z14:Z16)</f>
        <v>0</v>
      </c>
      <c r="AJ13" s="22">
        <f>SUM(AA14:AA16)</f>
        <v>0</v>
      </c>
      <c r="AK13" s="22">
        <f>SUM(AB14:AB16)</f>
        <v>0</v>
      </c>
    </row>
    <row r="14" spans="1:48" ht="12.75">
      <c r="A14" s="129" t="s">
        <v>7</v>
      </c>
      <c r="B14" s="129" t="s">
        <v>197</v>
      </c>
      <c r="C14" s="129" t="s">
        <v>199</v>
      </c>
      <c r="D14" s="129" t="s">
        <v>410</v>
      </c>
      <c r="E14" s="129" t="s">
        <v>775</v>
      </c>
      <c r="F14" s="130">
        <v>10.66</v>
      </c>
      <c r="G14" s="130">
        <v>0</v>
      </c>
      <c r="H14" s="130">
        <f>F14*AE14</f>
        <v>0</v>
      </c>
      <c r="I14" s="130">
        <f>J14-H14</f>
        <v>0</v>
      </c>
      <c r="J14" s="130">
        <f>F14*G14</f>
        <v>0</v>
      </c>
      <c r="K14" s="130">
        <v>0</v>
      </c>
      <c r="L14" s="130">
        <f>F14*K14</f>
        <v>0</v>
      </c>
      <c r="M14" s="131" t="s">
        <v>803</v>
      </c>
      <c r="P14" s="19">
        <f>IF(AG14="5",J14,0)</f>
        <v>0</v>
      </c>
      <c r="R14" s="19">
        <f>IF(AG14="1",H14,0)</f>
        <v>0</v>
      </c>
      <c r="S14" s="19">
        <f>IF(AG14="1",I14,0)</f>
        <v>0</v>
      </c>
      <c r="T14" s="19">
        <f>IF(AG14="7",H14,0)</f>
        <v>0</v>
      </c>
      <c r="U14" s="19">
        <f>IF(AG14="7",I14,0)</f>
        <v>0</v>
      </c>
      <c r="V14" s="19">
        <f>IF(AG14="2",H14,0)</f>
        <v>0</v>
      </c>
      <c r="W14" s="19">
        <f>IF(AG14="2",I14,0)</f>
        <v>0</v>
      </c>
      <c r="X14" s="19">
        <f>IF(AG14="0",J14,0)</f>
        <v>0</v>
      </c>
      <c r="Y14" s="13" t="s">
        <v>197</v>
      </c>
      <c r="Z14" s="10">
        <f>IF(AD14=0,J14,0)</f>
        <v>0</v>
      </c>
      <c r="AA14" s="10">
        <f>IF(AD14=15,J14,0)</f>
        <v>0</v>
      </c>
      <c r="AB14" s="10">
        <f>IF(AD14=21,J14,0)</f>
        <v>0</v>
      </c>
      <c r="AD14" s="19">
        <v>21</v>
      </c>
      <c r="AE14" s="19">
        <f>G14*0</f>
        <v>0</v>
      </c>
      <c r="AF14" s="19">
        <f>G14*(1-0)</f>
        <v>0</v>
      </c>
      <c r="AG14" s="15" t="s">
        <v>7</v>
      </c>
      <c r="AM14" s="19">
        <f>F14*AE14</f>
        <v>0</v>
      </c>
      <c r="AN14" s="19">
        <f>F14*AF14</f>
        <v>0</v>
      </c>
      <c r="AO14" s="20" t="s">
        <v>815</v>
      </c>
      <c r="AP14" s="20" t="s">
        <v>847</v>
      </c>
      <c r="AQ14" s="13" t="s">
        <v>859</v>
      </c>
      <c r="AS14" s="19">
        <f>AM14+AN14</f>
        <v>0</v>
      </c>
      <c r="AT14" s="19">
        <f>G14/(100-AU14)*100</f>
        <v>0</v>
      </c>
      <c r="AU14" s="19">
        <v>0</v>
      </c>
      <c r="AV14" s="19">
        <f>L14</f>
        <v>0</v>
      </c>
    </row>
    <row r="15" spans="1:13" ht="12.75">
      <c r="A15" s="132"/>
      <c r="B15" s="132"/>
      <c r="C15" s="132"/>
      <c r="D15" s="133" t="s">
        <v>411</v>
      </c>
      <c r="E15" s="132"/>
      <c r="F15" s="134">
        <v>10.66</v>
      </c>
      <c r="G15" s="132"/>
      <c r="H15" s="132"/>
      <c r="I15" s="132"/>
      <c r="J15" s="132"/>
      <c r="K15" s="132"/>
      <c r="L15" s="132"/>
      <c r="M15" s="132"/>
    </row>
    <row r="16" spans="1:48" ht="12.75">
      <c r="A16" s="129" t="s">
        <v>8</v>
      </c>
      <c r="B16" s="129" t="s">
        <v>197</v>
      </c>
      <c r="C16" s="129" t="s">
        <v>200</v>
      </c>
      <c r="D16" s="129" t="s">
        <v>412</v>
      </c>
      <c r="E16" s="129" t="s">
        <v>775</v>
      </c>
      <c r="F16" s="130">
        <v>2.24</v>
      </c>
      <c r="G16" s="130">
        <v>0</v>
      </c>
      <c r="H16" s="130">
        <f>F16*AE16</f>
        <v>0</v>
      </c>
      <c r="I16" s="130">
        <f>J16-H16</f>
        <v>0</v>
      </c>
      <c r="J16" s="130">
        <f>F16*G16</f>
        <v>0</v>
      </c>
      <c r="K16" s="130">
        <v>0</v>
      </c>
      <c r="L16" s="130">
        <f>F16*K16</f>
        <v>0</v>
      </c>
      <c r="M16" s="131" t="s">
        <v>803</v>
      </c>
      <c r="P16" s="19">
        <f>IF(AG16="5",J16,0)</f>
        <v>0</v>
      </c>
      <c r="R16" s="19">
        <f>IF(AG16="1",H16,0)</f>
        <v>0</v>
      </c>
      <c r="S16" s="19">
        <f>IF(AG16="1",I16,0)</f>
        <v>0</v>
      </c>
      <c r="T16" s="19">
        <f>IF(AG16="7",H16,0)</f>
        <v>0</v>
      </c>
      <c r="U16" s="19">
        <f>IF(AG16="7",I16,0)</f>
        <v>0</v>
      </c>
      <c r="V16" s="19">
        <f>IF(AG16="2",H16,0)</f>
        <v>0</v>
      </c>
      <c r="W16" s="19">
        <f>IF(AG16="2",I16,0)</f>
        <v>0</v>
      </c>
      <c r="X16" s="19">
        <f>IF(AG16="0",J16,0)</f>
        <v>0</v>
      </c>
      <c r="Y16" s="13" t="s">
        <v>197</v>
      </c>
      <c r="Z16" s="10">
        <f>IF(AD16=0,J16,0)</f>
        <v>0</v>
      </c>
      <c r="AA16" s="10">
        <f>IF(AD16=15,J16,0)</f>
        <v>0</v>
      </c>
      <c r="AB16" s="10">
        <f>IF(AD16=21,J16,0)</f>
        <v>0</v>
      </c>
      <c r="AD16" s="19">
        <v>21</v>
      </c>
      <c r="AE16" s="19">
        <f>G16*0</f>
        <v>0</v>
      </c>
      <c r="AF16" s="19">
        <f>G16*(1-0)</f>
        <v>0</v>
      </c>
      <c r="AG16" s="15" t="s">
        <v>7</v>
      </c>
      <c r="AM16" s="19">
        <f>F16*AE16</f>
        <v>0</v>
      </c>
      <c r="AN16" s="19">
        <f>F16*AF16</f>
        <v>0</v>
      </c>
      <c r="AO16" s="20" t="s">
        <v>815</v>
      </c>
      <c r="AP16" s="20" t="s">
        <v>847</v>
      </c>
      <c r="AQ16" s="13" t="s">
        <v>859</v>
      </c>
      <c r="AS16" s="19">
        <f>AM16+AN16</f>
        <v>0</v>
      </c>
      <c r="AT16" s="19">
        <f>G16/(100-AU16)*100</f>
        <v>0</v>
      </c>
      <c r="AU16" s="19">
        <v>0</v>
      </c>
      <c r="AV16" s="19">
        <f>L16</f>
        <v>0</v>
      </c>
    </row>
    <row r="17" spans="1:13" ht="12.75">
      <c r="A17" s="132"/>
      <c r="B17" s="132"/>
      <c r="C17" s="132"/>
      <c r="D17" s="133" t="s">
        <v>413</v>
      </c>
      <c r="E17" s="132"/>
      <c r="F17" s="134">
        <v>2.24</v>
      </c>
      <c r="G17" s="132"/>
      <c r="H17" s="132"/>
      <c r="I17" s="132"/>
      <c r="J17" s="132"/>
      <c r="K17" s="132"/>
      <c r="L17" s="132"/>
      <c r="M17" s="132"/>
    </row>
    <row r="18" spans="1:37" ht="12.75">
      <c r="A18" s="125"/>
      <c r="B18" s="126" t="s">
        <v>197</v>
      </c>
      <c r="C18" s="126" t="s">
        <v>19</v>
      </c>
      <c r="D18" s="126" t="s">
        <v>414</v>
      </c>
      <c r="E18" s="125" t="s">
        <v>6</v>
      </c>
      <c r="F18" s="125" t="s">
        <v>6</v>
      </c>
      <c r="G18" s="125" t="s">
        <v>6</v>
      </c>
      <c r="H18" s="127">
        <f>SUM(H19:H22)</f>
        <v>0</v>
      </c>
      <c r="I18" s="127">
        <f>SUM(I19:I22)</f>
        <v>0</v>
      </c>
      <c r="J18" s="127">
        <f>H18+I18</f>
        <v>0</v>
      </c>
      <c r="K18" s="128"/>
      <c r="L18" s="127">
        <f>SUM(L19:L22)</f>
        <v>0</v>
      </c>
      <c r="M18" s="128"/>
      <c r="Y18" s="13" t="s">
        <v>197</v>
      </c>
      <c r="AI18" s="22">
        <f>SUM(Z19:Z22)</f>
        <v>0</v>
      </c>
      <c r="AJ18" s="22">
        <f>SUM(AA19:AA22)</f>
        <v>0</v>
      </c>
      <c r="AK18" s="22">
        <f>SUM(AB19:AB22)</f>
        <v>0</v>
      </c>
    </row>
    <row r="19" spans="1:48" ht="12.75">
      <c r="A19" s="129" t="s">
        <v>9</v>
      </c>
      <c r="B19" s="129" t="s">
        <v>197</v>
      </c>
      <c r="C19" s="129" t="s">
        <v>201</v>
      </c>
      <c r="D19" s="129" t="s">
        <v>415</v>
      </c>
      <c r="E19" s="129" t="s">
        <v>775</v>
      </c>
      <c r="F19" s="130">
        <v>8.95</v>
      </c>
      <c r="G19" s="130">
        <v>0</v>
      </c>
      <c r="H19" s="130">
        <f>F19*AE19</f>
        <v>0</v>
      </c>
      <c r="I19" s="130">
        <f>J19-H19</f>
        <v>0</v>
      </c>
      <c r="J19" s="130">
        <f>F19*G19</f>
        <v>0</v>
      </c>
      <c r="K19" s="130">
        <v>0</v>
      </c>
      <c r="L19" s="130">
        <f>F19*K19</f>
        <v>0</v>
      </c>
      <c r="M19" s="131" t="s">
        <v>803</v>
      </c>
      <c r="P19" s="19">
        <f>IF(AG19="5",J19,0)</f>
        <v>0</v>
      </c>
      <c r="R19" s="19">
        <f>IF(AG19="1",H19,0)</f>
        <v>0</v>
      </c>
      <c r="S19" s="19">
        <f>IF(AG19="1",I19,0)</f>
        <v>0</v>
      </c>
      <c r="T19" s="19">
        <f>IF(AG19="7",H19,0)</f>
        <v>0</v>
      </c>
      <c r="U19" s="19">
        <f>IF(AG19="7",I19,0)</f>
        <v>0</v>
      </c>
      <c r="V19" s="19">
        <f>IF(AG19="2",H19,0)</f>
        <v>0</v>
      </c>
      <c r="W19" s="19">
        <f>IF(AG19="2",I19,0)</f>
        <v>0</v>
      </c>
      <c r="X19" s="19">
        <f>IF(AG19="0",J19,0)</f>
        <v>0</v>
      </c>
      <c r="Y19" s="13" t="s">
        <v>197</v>
      </c>
      <c r="Z19" s="10">
        <f>IF(AD19=0,J19,0)</f>
        <v>0</v>
      </c>
      <c r="AA19" s="10">
        <f>IF(AD19=15,J19,0)</f>
        <v>0</v>
      </c>
      <c r="AB19" s="10">
        <f>IF(AD19=21,J19,0)</f>
        <v>0</v>
      </c>
      <c r="AD19" s="19">
        <v>21</v>
      </c>
      <c r="AE19" s="19">
        <f>G19*0</f>
        <v>0</v>
      </c>
      <c r="AF19" s="19">
        <f>G19*(1-0)</f>
        <v>0</v>
      </c>
      <c r="AG19" s="15" t="s">
        <v>7</v>
      </c>
      <c r="AM19" s="19">
        <f>F19*AE19</f>
        <v>0</v>
      </c>
      <c r="AN19" s="19">
        <f>F19*AF19</f>
        <v>0</v>
      </c>
      <c r="AO19" s="20" t="s">
        <v>816</v>
      </c>
      <c r="AP19" s="20" t="s">
        <v>847</v>
      </c>
      <c r="AQ19" s="13" t="s">
        <v>859</v>
      </c>
      <c r="AS19" s="19">
        <f>AM19+AN19</f>
        <v>0</v>
      </c>
      <c r="AT19" s="19">
        <f>G19/(100-AU19)*100</f>
        <v>0</v>
      </c>
      <c r="AU19" s="19">
        <v>0</v>
      </c>
      <c r="AV19" s="19">
        <f>L19</f>
        <v>0</v>
      </c>
    </row>
    <row r="20" spans="1:13" ht="12.75">
      <c r="A20" s="132"/>
      <c r="B20" s="132"/>
      <c r="C20" s="132"/>
      <c r="D20" s="133" t="s">
        <v>416</v>
      </c>
      <c r="E20" s="132"/>
      <c r="F20" s="134">
        <v>7.67</v>
      </c>
      <c r="G20" s="132"/>
      <c r="H20" s="132"/>
      <c r="I20" s="132"/>
      <c r="J20" s="132"/>
      <c r="K20" s="132"/>
      <c r="L20" s="132"/>
      <c r="M20" s="132"/>
    </row>
    <row r="21" spans="1:13" ht="12.75">
      <c r="A21" s="132"/>
      <c r="B21" s="132"/>
      <c r="C21" s="132"/>
      <c r="D21" s="133" t="s">
        <v>417</v>
      </c>
      <c r="E21" s="132"/>
      <c r="F21" s="134">
        <v>1.28</v>
      </c>
      <c r="G21" s="132"/>
      <c r="H21" s="132"/>
      <c r="I21" s="132"/>
      <c r="J21" s="132"/>
      <c r="K21" s="132"/>
      <c r="L21" s="132"/>
      <c r="M21" s="132"/>
    </row>
    <row r="22" spans="1:48" ht="12.75">
      <c r="A22" s="129" t="s">
        <v>10</v>
      </c>
      <c r="B22" s="129" t="s">
        <v>197</v>
      </c>
      <c r="C22" s="129" t="s">
        <v>202</v>
      </c>
      <c r="D22" s="129" t="s">
        <v>418</v>
      </c>
      <c r="E22" s="129" t="s">
        <v>775</v>
      </c>
      <c r="F22" s="130">
        <v>8.95</v>
      </c>
      <c r="G22" s="130">
        <v>0</v>
      </c>
      <c r="H22" s="130">
        <f>F22*AE22</f>
        <v>0</v>
      </c>
      <c r="I22" s="130">
        <f>J22-H22</f>
        <v>0</v>
      </c>
      <c r="J22" s="130">
        <f>F22*G22</f>
        <v>0</v>
      </c>
      <c r="K22" s="130">
        <v>0</v>
      </c>
      <c r="L22" s="130">
        <f>F22*K22</f>
        <v>0</v>
      </c>
      <c r="M22" s="131" t="s">
        <v>803</v>
      </c>
      <c r="P22" s="19">
        <f>IF(AG22="5",J22,0)</f>
        <v>0</v>
      </c>
      <c r="R22" s="19">
        <f>IF(AG22="1",H22,0)</f>
        <v>0</v>
      </c>
      <c r="S22" s="19">
        <f>IF(AG22="1",I22,0)</f>
        <v>0</v>
      </c>
      <c r="T22" s="19">
        <f>IF(AG22="7",H22,0)</f>
        <v>0</v>
      </c>
      <c r="U22" s="19">
        <f>IF(AG22="7",I22,0)</f>
        <v>0</v>
      </c>
      <c r="V22" s="19">
        <f>IF(AG22="2",H22,0)</f>
        <v>0</v>
      </c>
      <c r="W22" s="19">
        <f>IF(AG22="2",I22,0)</f>
        <v>0</v>
      </c>
      <c r="X22" s="19">
        <f>IF(AG22="0",J22,0)</f>
        <v>0</v>
      </c>
      <c r="Y22" s="13" t="s">
        <v>197</v>
      </c>
      <c r="Z22" s="10">
        <f>IF(AD22=0,J22,0)</f>
        <v>0</v>
      </c>
      <c r="AA22" s="10">
        <f>IF(AD22=15,J22,0)</f>
        <v>0</v>
      </c>
      <c r="AB22" s="10">
        <f>IF(AD22=21,J22,0)</f>
        <v>0</v>
      </c>
      <c r="AD22" s="19">
        <v>21</v>
      </c>
      <c r="AE22" s="19">
        <f>G22*0</f>
        <v>0</v>
      </c>
      <c r="AF22" s="19">
        <f>G22*(1-0)</f>
        <v>0</v>
      </c>
      <c r="AG22" s="15" t="s">
        <v>7</v>
      </c>
      <c r="AM22" s="19">
        <f>F22*AE22</f>
        <v>0</v>
      </c>
      <c r="AN22" s="19">
        <f>F22*AF22</f>
        <v>0</v>
      </c>
      <c r="AO22" s="20" t="s">
        <v>816</v>
      </c>
      <c r="AP22" s="20" t="s">
        <v>847</v>
      </c>
      <c r="AQ22" s="13" t="s">
        <v>859</v>
      </c>
      <c r="AS22" s="19">
        <f>AM22+AN22</f>
        <v>0</v>
      </c>
      <c r="AT22" s="19">
        <f>G22/(100-AU22)*100</f>
        <v>0</v>
      </c>
      <c r="AU22" s="19">
        <v>0</v>
      </c>
      <c r="AV22" s="19">
        <f>L22</f>
        <v>0</v>
      </c>
    </row>
    <row r="23" spans="1:37" ht="12.75">
      <c r="A23" s="125"/>
      <c r="B23" s="126" t="s">
        <v>197</v>
      </c>
      <c r="C23" s="126" t="s">
        <v>22</v>
      </c>
      <c r="D23" s="126" t="s">
        <v>419</v>
      </c>
      <c r="E23" s="125" t="s">
        <v>6</v>
      </c>
      <c r="F23" s="125" t="s">
        <v>6</v>
      </c>
      <c r="G23" s="125" t="s">
        <v>6</v>
      </c>
      <c r="H23" s="127">
        <f>SUM(H24:H30)</f>
        <v>0</v>
      </c>
      <c r="I23" s="127">
        <f>SUM(I24:I30)</f>
        <v>0</v>
      </c>
      <c r="J23" s="127">
        <f>H23+I23</f>
        <v>0</v>
      </c>
      <c r="K23" s="128"/>
      <c r="L23" s="127">
        <f>SUM(L24:L30)</f>
        <v>0</v>
      </c>
      <c r="M23" s="128"/>
      <c r="Y23" s="13" t="s">
        <v>197</v>
      </c>
      <c r="AI23" s="22">
        <f>SUM(Z24:Z30)</f>
        <v>0</v>
      </c>
      <c r="AJ23" s="22">
        <f>SUM(AA24:AA30)</f>
        <v>0</v>
      </c>
      <c r="AK23" s="22">
        <f>SUM(AB24:AB30)</f>
        <v>0</v>
      </c>
    </row>
    <row r="24" spans="1:48" ht="12.75">
      <c r="A24" s="129" t="s">
        <v>11</v>
      </c>
      <c r="B24" s="129" t="s">
        <v>197</v>
      </c>
      <c r="C24" s="129" t="s">
        <v>203</v>
      </c>
      <c r="D24" s="129" t="s">
        <v>420</v>
      </c>
      <c r="E24" s="129" t="s">
        <v>775</v>
      </c>
      <c r="F24" s="130">
        <v>11.19</v>
      </c>
      <c r="G24" s="130">
        <v>0</v>
      </c>
      <c r="H24" s="130">
        <f>F24*AE24</f>
        <v>0</v>
      </c>
      <c r="I24" s="130">
        <f>J24-H24</f>
        <v>0</v>
      </c>
      <c r="J24" s="130">
        <f>F24*G24</f>
        <v>0</v>
      </c>
      <c r="K24" s="130">
        <v>0</v>
      </c>
      <c r="L24" s="130">
        <f>F24*K24</f>
        <v>0</v>
      </c>
      <c r="M24" s="131" t="s">
        <v>803</v>
      </c>
      <c r="P24" s="19">
        <f>IF(AG24="5",J24,0)</f>
        <v>0</v>
      </c>
      <c r="R24" s="19">
        <f>IF(AG24="1",H24,0)</f>
        <v>0</v>
      </c>
      <c r="S24" s="19">
        <f>IF(AG24="1",I24,0)</f>
        <v>0</v>
      </c>
      <c r="T24" s="19">
        <f>IF(AG24="7",H24,0)</f>
        <v>0</v>
      </c>
      <c r="U24" s="19">
        <f>IF(AG24="7",I24,0)</f>
        <v>0</v>
      </c>
      <c r="V24" s="19">
        <f>IF(AG24="2",H24,0)</f>
        <v>0</v>
      </c>
      <c r="W24" s="19">
        <f>IF(AG24="2",I24,0)</f>
        <v>0</v>
      </c>
      <c r="X24" s="19">
        <f>IF(AG24="0",J24,0)</f>
        <v>0</v>
      </c>
      <c r="Y24" s="13" t="s">
        <v>197</v>
      </c>
      <c r="Z24" s="10">
        <f>IF(AD24=0,J24,0)</f>
        <v>0</v>
      </c>
      <c r="AA24" s="10">
        <f>IF(AD24=15,J24,0)</f>
        <v>0</v>
      </c>
      <c r="AB24" s="10">
        <f>IF(AD24=21,J24,0)</f>
        <v>0</v>
      </c>
      <c r="AD24" s="19">
        <v>21</v>
      </c>
      <c r="AE24" s="19">
        <f>G24*0</f>
        <v>0</v>
      </c>
      <c r="AF24" s="19">
        <f>G24*(1-0)</f>
        <v>0</v>
      </c>
      <c r="AG24" s="15" t="s">
        <v>7</v>
      </c>
      <c r="AM24" s="19">
        <f>F24*AE24</f>
        <v>0</v>
      </c>
      <c r="AN24" s="19">
        <f>F24*AF24</f>
        <v>0</v>
      </c>
      <c r="AO24" s="20" t="s">
        <v>817</v>
      </c>
      <c r="AP24" s="20" t="s">
        <v>847</v>
      </c>
      <c r="AQ24" s="13" t="s">
        <v>859</v>
      </c>
      <c r="AS24" s="19">
        <f>AM24+AN24</f>
        <v>0</v>
      </c>
      <c r="AT24" s="19">
        <f>G24/(100-AU24)*100</f>
        <v>0</v>
      </c>
      <c r="AU24" s="19">
        <v>0</v>
      </c>
      <c r="AV24" s="19">
        <f>L24</f>
        <v>0</v>
      </c>
    </row>
    <row r="25" spans="1:13" ht="12.75">
      <c r="A25" s="132"/>
      <c r="B25" s="132"/>
      <c r="C25" s="132"/>
      <c r="D25" s="133" t="s">
        <v>421</v>
      </c>
      <c r="E25" s="132"/>
      <c r="F25" s="134">
        <v>2.24</v>
      </c>
      <c r="G25" s="132"/>
      <c r="H25" s="132"/>
      <c r="I25" s="132"/>
      <c r="J25" s="132"/>
      <c r="K25" s="132"/>
      <c r="L25" s="132"/>
      <c r="M25" s="132"/>
    </row>
    <row r="26" spans="1:13" ht="12.75">
      <c r="A26" s="132"/>
      <c r="B26" s="132"/>
      <c r="C26" s="132"/>
      <c r="D26" s="133" t="s">
        <v>422</v>
      </c>
      <c r="E26" s="132"/>
      <c r="F26" s="134">
        <v>8.95</v>
      </c>
      <c r="G26" s="132"/>
      <c r="H26" s="132"/>
      <c r="I26" s="132"/>
      <c r="J26" s="132"/>
      <c r="K26" s="132"/>
      <c r="L26" s="132"/>
      <c r="M26" s="132"/>
    </row>
    <row r="27" spans="1:48" ht="12.75">
      <c r="A27" s="129" t="s">
        <v>12</v>
      </c>
      <c r="B27" s="129" t="s">
        <v>197</v>
      </c>
      <c r="C27" s="129" t="s">
        <v>204</v>
      </c>
      <c r="D27" s="129" t="s">
        <v>423</v>
      </c>
      <c r="E27" s="129" t="s">
        <v>775</v>
      </c>
      <c r="F27" s="130">
        <v>11.19</v>
      </c>
      <c r="G27" s="130">
        <v>0</v>
      </c>
      <c r="H27" s="130">
        <f>F27*AE27</f>
        <v>0</v>
      </c>
      <c r="I27" s="130">
        <f>J27-H27</f>
        <v>0</v>
      </c>
      <c r="J27" s="130">
        <f>F27*G27</f>
        <v>0</v>
      </c>
      <c r="K27" s="130">
        <v>0</v>
      </c>
      <c r="L27" s="130">
        <f>F27*K27</f>
        <v>0</v>
      </c>
      <c r="M27" s="131" t="s">
        <v>803</v>
      </c>
      <c r="P27" s="19">
        <f>IF(AG27="5",J27,0)</f>
        <v>0</v>
      </c>
      <c r="R27" s="19">
        <f>IF(AG27="1",H27,0)</f>
        <v>0</v>
      </c>
      <c r="S27" s="19">
        <f>IF(AG27="1",I27,0)</f>
        <v>0</v>
      </c>
      <c r="T27" s="19">
        <f>IF(AG27="7",H27,0)</f>
        <v>0</v>
      </c>
      <c r="U27" s="19">
        <f>IF(AG27="7",I27,0)</f>
        <v>0</v>
      </c>
      <c r="V27" s="19">
        <f>IF(AG27="2",H27,0)</f>
        <v>0</v>
      </c>
      <c r="W27" s="19">
        <f>IF(AG27="2",I27,0)</f>
        <v>0</v>
      </c>
      <c r="X27" s="19">
        <f>IF(AG27="0",J27,0)</f>
        <v>0</v>
      </c>
      <c r="Y27" s="13" t="s">
        <v>197</v>
      </c>
      <c r="Z27" s="10">
        <f>IF(AD27=0,J27,0)</f>
        <v>0</v>
      </c>
      <c r="AA27" s="10">
        <f>IF(AD27=15,J27,0)</f>
        <v>0</v>
      </c>
      <c r="AB27" s="10">
        <f>IF(AD27=21,J27,0)</f>
        <v>0</v>
      </c>
      <c r="AD27" s="19">
        <v>21</v>
      </c>
      <c r="AE27" s="19">
        <f>G27*0</f>
        <v>0</v>
      </c>
      <c r="AF27" s="19">
        <f>G27*(1-0)</f>
        <v>0</v>
      </c>
      <c r="AG27" s="15" t="s">
        <v>7</v>
      </c>
      <c r="AM27" s="19">
        <f>F27*AE27</f>
        <v>0</v>
      </c>
      <c r="AN27" s="19">
        <f>F27*AF27</f>
        <v>0</v>
      </c>
      <c r="AO27" s="20" t="s">
        <v>817</v>
      </c>
      <c r="AP27" s="20" t="s">
        <v>847</v>
      </c>
      <c r="AQ27" s="13" t="s">
        <v>859</v>
      </c>
      <c r="AS27" s="19">
        <f>AM27+AN27</f>
        <v>0</v>
      </c>
      <c r="AT27" s="19">
        <f>G27/(100-AU27)*100</f>
        <v>0</v>
      </c>
      <c r="AU27" s="19">
        <v>0</v>
      </c>
      <c r="AV27" s="19">
        <f>L27</f>
        <v>0</v>
      </c>
    </row>
    <row r="28" spans="1:48" ht="12.75">
      <c r="A28" s="129" t="s">
        <v>13</v>
      </c>
      <c r="B28" s="129" t="s">
        <v>197</v>
      </c>
      <c r="C28" s="129" t="s">
        <v>205</v>
      </c>
      <c r="D28" s="129" t="s">
        <v>424</v>
      </c>
      <c r="E28" s="129" t="s">
        <v>775</v>
      </c>
      <c r="F28" s="130">
        <v>111.9</v>
      </c>
      <c r="G28" s="130">
        <v>0</v>
      </c>
      <c r="H28" s="130">
        <f>F28*AE28</f>
        <v>0</v>
      </c>
      <c r="I28" s="130">
        <f>J28-H28</f>
        <v>0</v>
      </c>
      <c r="J28" s="130">
        <f>F28*G28</f>
        <v>0</v>
      </c>
      <c r="K28" s="130">
        <v>0</v>
      </c>
      <c r="L28" s="130">
        <f>F28*K28</f>
        <v>0</v>
      </c>
      <c r="M28" s="131" t="s">
        <v>803</v>
      </c>
      <c r="P28" s="19">
        <f>IF(AG28="5",J28,0)</f>
        <v>0</v>
      </c>
      <c r="R28" s="19">
        <f>IF(AG28="1",H28,0)</f>
        <v>0</v>
      </c>
      <c r="S28" s="19">
        <f>IF(AG28="1",I28,0)</f>
        <v>0</v>
      </c>
      <c r="T28" s="19">
        <f>IF(AG28="7",H28,0)</f>
        <v>0</v>
      </c>
      <c r="U28" s="19">
        <f>IF(AG28="7",I28,0)</f>
        <v>0</v>
      </c>
      <c r="V28" s="19">
        <f>IF(AG28="2",H28,0)</f>
        <v>0</v>
      </c>
      <c r="W28" s="19">
        <f>IF(AG28="2",I28,0)</f>
        <v>0</v>
      </c>
      <c r="X28" s="19">
        <f>IF(AG28="0",J28,0)</f>
        <v>0</v>
      </c>
      <c r="Y28" s="13" t="s">
        <v>197</v>
      </c>
      <c r="Z28" s="10">
        <f>IF(AD28=0,J28,0)</f>
        <v>0</v>
      </c>
      <c r="AA28" s="10">
        <f>IF(AD28=15,J28,0)</f>
        <v>0</v>
      </c>
      <c r="AB28" s="10">
        <f>IF(AD28=21,J28,0)</f>
        <v>0</v>
      </c>
      <c r="AD28" s="19">
        <v>21</v>
      </c>
      <c r="AE28" s="19">
        <f>G28*0</f>
        <v>0</v>
      </c>
      <c r="AF28" s="19">
        <f>G28*(1-0)</f>
        <v>0</v>
      </c>
      <c r="AG28" s="15" t="s">
        <v>7</v>
      </c>
      <c r="AM28" s="19">
        <f>F28*AE28</f>
        <v>0</v>
      </c>
      <c r="AN28" s="19">
        <f>F28*AF28</f>
        <v>0</v>
      </c>
      <c r="AO28" s="20" t="s">
        <v>817</v>
      </c>
      <c r="AP28" s="20" t="s">
        <v>847</v>
      </c>
      <c r="AQ28" s="13" t="s">
        <v>859</v>
      </c>
      <c r="AS28" s="19">
        <f>AM28+AN28</f>
        <v>0</v>
      </c>
      <c r="AT28" s="19">
        <f>G28/(100-AU28)*100</f>
        <v>0</v>
      </c>
      <c r="AU28" s="19">
        <v>0</v>
      </c>
      <c r="AV28" s="19">
        <f>L28</f>
        <v>0</v>
      </c>
    </row>
    <row r="29" spans="1:13" ht="12.75">
      <c r="A29" s="132"/>
      <c r="B29" s="132"/>
      <c r="C29" s="132"/>
      <c r="D29" s="133" t="s">
        <v>425</v>
      </c>
      <c r="E29" s="132"/>
      <c r="F29" s="134">
        <v>111.9</v>
      </c>
      <c r="G29" s="132"/>
      <c r="H29" s="132"/>
      <c r="I29" s="132"/>
      <c r="J29" s="132"/>
      <c r="K29" s="132"/>
      <c r="L29" s="132"/>
      <c r="M29" s="132"/>
    </row>
    <row r="30" spans="1:48" ht="12.75">
      <c r="A30" s="129" t="s">
        <v>14</v>
      </c>
      <c r="B30" s="129" t="s">
        <v>197</v>
      </c>
      <c r="C30" s="129" t="s">
        <v>206</v>
      </c>
      <c r="D30" s="129" t="s">
        <v>426</v>
      </c>
      <c r="E30" s="129" t="s">
        <v>775</v>
      </c>
      <c r="F30" s="130">
        <v>11.19</v>
      </c>
      <c r="G30" s="130">
        <v>0</v>
      </c>
      <c r="H30" s="130">
        <f>F30*AE30</f>
        <v>0</v>
      </c>
      <c r="I30" s="130">
        <f>J30-H30</f>
        <v>0</v>
      </c>
      <c r="J30" s="130">
        <f>F30*G30</f>
        <v>0</v>
      </c>
      <c r="K30" s="130">
        <v>0</v>
      </c>
      <c r="L30" s="130">
        <f>F30*K30</f>
        <v>0</v>
      </c>
      <c r="M30" s="131" t="s">
        <v>804</v>
      </c>
      <c r="P30" s="19">
        <f>IF(AG30="5",J30,0)</f>
        <v>0</v>
      </c>
      <c r="R30" s="19">
        <f>IF(AG30="1",H30,0)</f>
        <v>0</v>
      </c>
      <c r="S30" s="19">
        <f>IF(AG30="1",I30,0)</f>
        <v>0</v>
      </c>
      <c r="T30" s="19">
        <f>IF(AG30="7",H30,0)</f>
        <v>0</v>
      </c>
      <c r="U30" s="19">
        <f>IF(AG30="7",I30,0)</f>
        <v>0</v>
      </c>
      <c r="V30" s="19">
        <f>IF(AG30="2",H30,0)</f>
        <v>0</v>
      </c>
      <c r="W30" s="19">
        <f>IF(AG30="2",I30,0)</f>
        <v>0</v>
      </c>
      <c r="X30" s="19">
        <f>IF(AG30="0",J30,0)</f>
        <v>0</v>
      </c>
      <c r="Y30" s="13" t="s">
        <v>197</v>
      </c>
      <c r="Z30" s="10">
        <f>IF(AD30=0,J30,0)</f>
        <v>0</v>
      </c>
      <c r="AA30" s="10">
        <f>IF(AD30=15,J30,0)</f>
        <v>0</v>
      </c>
      <c r="AB30" s="10">
        <f>IF(AD30=21,J30,0)</f>
        <v>0</v>
      </c>
      <c r="AD30" s="19">
        <v>21</v>
      </c>
      <c r="AE30" s="19">
        <f>G30*0</f>
        <v>0</v>
      </c>
      <c r="AF30" s="19">
        <f>G30*(1-0)</f>
        <v>0</v>
      </c>
      <c r="AG30" s="15" t="s">
        <v>7</v>
      </c>
      <c r="AM30" s="19">
        <f>F30*AE30</f>
        <v>0</v>
      </c>
      <c r="AN30" s="19">
        <f>F30*AF30</f>
        <v>0</v>
      </c>
      <c r="AO30" s="20" t="s">
        <v>817</v>
      </c>
      <c r="AP30" s="20" t="s">
        <v>847</v>
      </c>
      <c r="AQ30" s="13" t="s">
        <v>859</v>
      </c>
      <c r="AS30" s="19">
        <f>AM30+AN30</f>
        <v>0</v>
      </c>
      <c r="AT30" s="19">
        <f>G30/(100-AU30)*100</f>
        <v>0</v>
      </c>
      <c r="AU30" s="19">
        <v>0</v>
      </c>
      <c r="AV30" s="19">
        <f>L30</f>
        <v>0</v>
      </c>
    </row>
    <row r="31" spans="1:37" ht="12.75">
      <c r="A31" s="125"/>
      <c r="B31" s="126" t="s">
        <v>197</v>
      </c>
      <c r="C31" s="126" t="s">
        <v>23</v>
      </c>
      <c r="D31" s="126" t="s">
        <v>427</v>
      </c>
      <c r="E31" s="125" t="s">
        <v>6</v>
      </c>
      <c r="F31" s="125" t="s">
        <v>6</v>
      </c>
      <c r="G31" s="125" t="s">
        <v>6</v>
      </c>
      <c r="H31" s="127">
        <f>SUM(H32:H35)</f>
        <v>0</v>
      </c>
      <c r="I31" s="127">
        <f>SUM(I32:I35)</f>
        <v>0</v>
      </c>
      <c r="J31" s="127">
        <f>H31+I31</f>
        <v>0</v>
      </c>
      <c r="K31" s="128"/>
      <c r="L31" s="127">
        <f>SUM(L32:L35)</f>
        <v>2.533</v>
      </c>
      <c r="M31" s="128"/>
      <c r="Y31" s="13" t="s">
        <v>197</v>
      </c>
      <c r="AI31" s="22">
        <f>SUM(Z32:Z35)</f>
        <v>0</v>
      </c>
      <c r="AJ31" s="22">
        <f>SUM(AA32:AA35)</f>
        <v>0</v>
      </c>
      <c r="AK31" s="22">
        <f>SUM(AB32:AB35)</f>
        <v>0</v>
      </c>
    </row>
    <row r="32" spans="1:48" ht="12.75">
      <c r="A32" s="129" t="s">
        <v>15</v>
      </c>
      <c r="B32" s="129" t="s">
        <v>197</v>
      </c>
      <c r="C32" s="129" t="s">
        <v>207</v>
      </c>
      <c r="D32" s="129" t="s">
        <v>428</v>
      </c>
      <c r="E32" s="129" t="s">
        <v>775</v>
      </c>
      <c r="F32" s="130">
        <v>16.1</v>
      </c>
      <c r="G32" s="130">
        <v>0</v>
      </c>
      <c r="H32" s="130">
        <f>F32*AE32</f>
        <v>0</v>
      </c>
      <c r="I32" s="130">
        <f>J32-H32</f>
        <v>0</v>
      </c>
      <c r="J32" s="130">
        <f>F32*G32</f>
        <v>0</v>
      </c>
      <c r="K32" s="130">
        <v>0</v>
      </c>
      <c r="L32" s="130">
        <f>F32*K32</f>
        <v>0</v>
      </c>
      <c r="M32" s="131" t="s">
        <v>803</v>
      </c>
      <c r="P32" s="19">
        <f>IF(AG32="5",J32,0)</f>
        <v>0</v>
      </c>
      <c r="R32" s="19">
        <f>IF(AG32="1",H32,0)</f>
        <v>0</v>
      </c>
      <c r="S32" s="19">
        <f>IF(AG32="1",I32,0)</f>
        <v>0</v>
      </c>
      <c r="T32" s="19">
        <f>IF(AG32="7",H32,0)</f>
        <v>0</v>
      </c>
      <c r="U32" s="19">
        <f>IF(AG32="7",I32,0)</f>
        <v>0</v>
      </c>
      <c r="V32" s="19">
        <f>IF(AG32="2",H32,0)</f>
        <v>0</v>
      </c>
      <c r="W32" s="19">
        <f>IF(AG32="2",I32,0)</f>
        <v>0</v>
      </c>
      <c r="X32" s="19">
        <f>IF(AG32="0",J32,0)</f>
        <v>0</v>
      </c>
      <c r="Y32" s="13" t="s">
        <v>197</v>
      </c>
      <c r="Z32" s="10">
        <f>IF(AD32=0,J32,0)</f>
        <v>0</v>
      </c>
      <c r="AA32" s="10">
        <f>IF(AD32=15,J32,0)</f>
        <v>0</v>
      </c>
      <c r="AB32" s="10">
        <f>IF(AD32=21,J32,0)</f>
        <v>0</v>
      </c>
      <c r="AD32" s="19">
        <v>21</v>
      </c>
      <c r="AE32" s="19">
        <f>G32*0</f>
        <v>0</v>
      </c>
      <c r="AF32" s="19">
        <f>G32*(1-0)</f>
        <v>0</v>
      </c>
      <c r="AG32" s="15" t="s">
        <v>7</v>
      </c>
      <c r="AM32" s="19">
        <f>F32*AE32</f>
        <v>0</v>
      </c>
      <c r="AN32" s="19">
        <f>F32*AF32</f>
        <v>0</v>
      </c>
      <c r="AO32" s="20" t="s">
        <v>818</v>
      </c>
      <c r="AP32" s="20" t="s">
        <v>847</v>
      </c>
      <c r="AQ32" s="13" t="s">
        <v>859</v>
      </c>
      <c r="AS32" s="19">
        <f>AM32+AN32</f>
        <v>0</v>
      </c>
      <c r="AT32" s="19">
        <f>G32/(100-AU32)*100</f>
        <v>0</v>
      </c>
      <c r="AU32" s="19">
        <v>0</v>
      </c>
      <c r="AV32" s="19">
        <f>L32</f>
        <v>0</v>
      </c>
    </row>
    <row r="33" spans="1:48" ht="12.75">
      <c r="A33" s="129" t="s">
        <v>16</v>
      </c>
      <c r="B33" s="129" t="s">
        <v>197</v>
      </c>
      <c r="C33" s="129" t="s">
        <v>208</v>
      </c>
      <c r="D33" s="129" t="s">
        <v>429</v>
      </c>
      <c r="E33" s="129" t="s">
        <v>775</v>
      </c>
      <c r="F33" s="130">
        <v>2.86</v>
      </c>
      <c r="G33" s="130">
        <v>0</v>
      </c>
      <c r="H33" s="130">
        <f>F33*AE33</f>
        <v>0</v>
      </c>
      <c r="I33" s="130">
        <f>J33-H33</f>
        <v>0</v>
      </c>
      <c r="J33" s="130">
        <f>F33*G33</f>
        <v>0</v>
      </c>
      <c r="K33" s="130">
        <v>0</v>
      </c>
      <c r="L33" s="130">
        <f>F33*K33</f>
        <v>0</v>
      </c>
      <c r="M33" s="131" t="s">
        <v>803</v>
      </c>
      <c r="P33" s="19">
        <f>IF(AG33="5",J33,0)</f>
        <v>0</v>
      </c>
      <c r="R33" s="19">
        <f>IF(AG33="1",H33,0)</f>
        <v>0</v>
      </c>
      <c r="S33" s="19">
        <f>IF(AG33="1",I33,0)</f>
        <v>0</v>
      </c>
      <c r="T33" s="19">
        <f>IF(AG33="7",H33,0)</f>
        <v>0</v>
      </c>
      <c r="U33" s="19">
        <f>IF(AG33="7",I33,0)</f>
        <v>0</v>
      </c>
      <c r="V33" s="19">
        <f>IF(AG33="2",H33,0)</f>
        <v>0</v>
      </c>
      <c r="W33" s="19">
        <f>IF(AG33="2",I33,0)</f>
        <v>0</v>
      </c>
      <c r="X33" s="19">
        <f>IF(AG33="0",J33,0)</f>
        <v>0</v>
      </c>
      <c r="Y33" s="13" t="s">
        <v>197</v>
      </c>
      <c r="Z33" s="10">
        <f>IF(AD33=0,J33,0)</f>
        <v>0</v>
      </c>
      <c r="AA33" s="10">
        <f>IF(AD33=15,J33,0)</f>
        <v>0</v>
      </c>
      <c r="AB33" s="10">
        <f>IF(AD33=21,J33,0)</f>
        <v>0</v>
      </c>
      <c r="AD33" s="19">
        <v>21</v>
      </c>
      <c r="AE33" s="19">
        <f>G33*0</f>
        <v>0</v>
      </c>
      <c r="AF33" s="19">
        <f>G33*(1-0)</f>
        <v>0</v>
      </c>
      <c r="AG33" s="15" t="s">
        <v>7</v>
      </c>
      <c r="AM33" s="19">
        <f>F33*AE33</f>
        <v>0</v>
      </c>
      <c r="AN33" s="19">
        <f>F33*AF33</f>
        <v>0</v>
      </c>
      <c r="AO33" s="20" t="s">
        <v>818</v>
      </c>
      <c r="AP33" s="20" t="s">
        <v>847</v>
      </c>
      <c r="AQ33" s="13" t="s">
        <v>859</v>
      </c>
      <c r="AS33" s="19">
        <f>AM33+AN33</f>
        <v>0</v>
      </c>
      <c r="AT33" s="19">
        <f>G33/(100-AU33)*100</f>
        <v>0</v>
      </c>
      <c r="AU33" s="19">
        <v>0</v>
      </c>
      <c r="AV33" s="19">
        <f>L33</f>
        <v>0</v>
      </c>
    </row>
    <row r="34" spans="1:13" ht="12.75">
      <c r="A34" s="132"/>
      <c r="B34" s="132"/>
      <c r="C34" s="132"/>
      <c r="D34" s="133" t="s">
        <v>430</v>
      </c>
      <c r="E34" s="132"/>
      <c r="F34" s="134">
        <v>2.86</v>
      </c>
      <c r="G34" s="132"/>
      <c r="H34" s="132"/>
      <c r="I34" s="132"/>
      <c r="J34" s="132"/>
      <c r="K34" s="132"/>
      <c r="L34" s="132"/>
      <c r="M34" s="132"/>
    </row>
    <row r="35" spans="1:48" ht="12.75">
      <c r="A35" s="129" t="s">
        <v>17</v>
      </c>
      <c r="B35" s="129" t="s">
        <v>197</v>
      </c>
      <c r="C35" s="129" t="s">
        <v>209</v>
      </c>
      <c r="D35" s="129" t="s">
        <v>431</v>
      </c>
      <c r="E35" s="129" t="s">
        <v>775</v>
      </c>
      <c r="F35" s="130">
        <v>1.49</v>
      </c>
      <c r="G35" s="130">
        <v>0</v>
      </c>
      <c r="H35" s="130">
        <f>F35*AE35</f>
        <v>0</v>
      </c>
      <c r="I35" s="130">
        <f>J35-H35</f>
        <v>0</v>
      </c>
      <c r="J35" s="130">
        <f>F35*G35</f>
        <v>0</v>
      </c>
      <c r="K35" s="130">
        <v>1.7</v>
      </c>
      <c r="L35" s="130">
        <f>F35*K35</f>
        <v>2.533</v>
      </c>
      <c r="M35" s="131" t="s">
        <v>803</v>
      </c>
      <c r="P35" s="19">
        <f>IF(AG35="5",J35,0)</f>
        <v>0</v>
      </c>
      <c r="R35" s="19">
        <f>IF(AG35="1",H35,0)</f>
        <v>0</v>
      </c>
      <c r="S35" s="19">
        <f>IF(AG35="1",I35,0)</f>
        <v>0</v>
      </c>
      <c r="T35" s="19">
        <f>IF(AG35="7",H35,0)</f>
        <v>0</v>
      </c>
      <c r="U35" s="19">
        <f>IF(AG35="7",I35,0)</f>
        <v>0</v>
      </c>
      <c r="V35" s="19">
        <f>IF(AG35="2",H35,0)</f>
        <v>0</v>
      </c>
      <c r="W35" s="19">
        <f>IF(AG35="2",I35,0)</f>
        <v>0</v>
      </c>
      <c r="X35" s="19">
        <f>IF(AG35="0",J35,0)</f>
        <v>0</v>
      </c>
      <c r="Y35" s="13" t="s">
        <v>197</v>
      </c>
      <c r="Z35" s="10">
        <f>IF(AD35=0,J35,0)</f>
        <v>0</v>
      </c>
      <c r="AA35" s="10">
        <f>IF(AD35=15,J35,0)</f>
        <v>0</v>
      </c>
      <c r="AB35" s="10">
        <f>IF(AD35=21,J35,0)</f>
        <v>0</v>
      </c>
      <c r="AD35" s="19">
        <v>21</v>
      </c>
      <c r="AE35" s="19">
        <f>G35*0.507525856782721</f>
        <v>0</v>
      </c>
      <c r="AF35" s="19">
        <f>G35*(1-0.507525856782721)</f>
        <v>0</v>
      </c>
      <c r="AG35" s="15" t="s">
        <v>7</v>
      </c>
      <c r="AM35" s="19">
        <f>F35*AE35</f>
        <v>0</v>
      </c>
      <c r="AN35" s="19">
        <f>F35*AF35</f>
        <v>0</v>
      </c>
      <c r="AO35" s="20" t="s">
        <v>818</v>
      </c>
      <c r="AP35" s="20" t="s">
        <v>847</v>
      </c>
      <c r="AQ35" s="13" t="s">
        <v>859</v>
      </c>
      <c r="AS35" s="19">
        <f>AM35+AN35</f>
        <v>0</v>
      </c>
      <c r="AT35" s="19">
        <f>G35/(100-AU35)*100</f>
        <v>0</v>
      </c>
      <c r="AU35" s="19">
        <v>0</v>
      </c>
      <c r="AV35" s="19">
        <f>L35</f>
        <v>2.533</v>
      </c>
    </row>
    <row r="36" spans="1:13" ht="12.75">
      <c r="A36" s="132"/>
      <c r="B36" s="132"/>
      <c r="C36" s="132"/>
      <c r="D36" s="133" t="s">
        <v>432</v>
      </c>
      <c r="E36" s="132"/>
      <c r="F36" s="134">
        <v>1.49</v>
      </c>
      <c r="G36" s="132"/>
      <c r="H36" s="132"/>
      <c r="I36" s="132"/>
      <c r="J36" s="132"/>
      <c r="K36" s="132"/>
      <c r="L36" s="132"/>
      <c r="M36" s="132"/>
    </row>
    <row r="37" spans="1:37" ht="12.75">
      <c r="A37" s="125"/>
      <c r="B37" s="126" t="s">
        <v>197</v>
      </c>
      <c r="C37" s="126" t="s">
        <v>33</v>
      </c>
      <c r="D37" s="126" t="s">
        <v>433</v>
      </c>
      <c r="E37" s="125" t="s">
        <v>6</v>
      </c>
      <c r="F37" s="125" t="s">
        <v>6</v>
      </c>
      <c r="G37" s="125" t="s">
        <v>6</v>
      </c>
      <c r="H37" s="127">
        <f>SUM(H38:H63)</f>
        <v>0</v>
      </c>
      <c r="I37" s="127">
        <f>SUM(I38:I63)</f>
        <v>0</v>
      </c>
      <c r="J37" s="127">
        <f>H37+I37</f>
        <v>0</v>
      </c>
      <c r="K37" s="128"/>
      <c r="L37" s="127">
        <f>SUM(L38:L63)</f>
        <v>45.5645096</v>
      </c>
      <c r="M37" s="128"/>
      <c r="Y37" s="13" t="s">
        <v>197</v>
      </c>
      <c r="AI37" s="22">
        <f>SUM(Z38:Z63)</f>
        <v>0</v>
      </c>
      <c r="AJ37" s="22">
        <f>SUM(AA38:AA63)</f>
        <v>0</v>
      </c>
      <c r="AK37" s="22">
        <f>SUM(AB38:AB63)</f>
        <v>0</v>
      </c>
    </row>
    <row r="38" spans="1:48" ht="12.75">
      <c r="A38" s="129" t="s">
        <v>18</v>
      </c>
      <c r="B38" s="129" t="s">
        <v>197</v>
      </c>
      <c r="C38" s="129" t="s">
        <v>210</v>
      </c>
      <c r="D38" s="129" t="s">
        <v>434</v>
      </c>
      <c r="E38" s="129" t="s">
        <v>775</v>
      </c>
      <c r="F38" s="130">
        <v>1.19</v>
      </c>
      <c r="G38" s="130">
        <v>0</v>
      </c>
      <c r="H38" s="130">
        <f>F38*AE38</f>
        <v>0</v>
      </c>
      <c r="I38" s="130">
        <f>J38-H38</f>
        <v>0</v>
      </c>
      <c r="J38" s="130">
        <f>F38*G38</f>
        <v>0</v>
      </c>
      <c r="K38" s="130">
        <v>1.9397</v>
      </c>
      <c r="L38" s="130">
        <f>F38*K38</f>
        <v>2.308243</v>
      </c>
      <c r="M38" s="131" t="s">
        <v>803</v>
      </c>
      <c r="P38" s="19">
        <f>IF(AG38="5",J38,0)</f>
        <v>0</v>
      </c>
      <c r="R38" s="19">
        <f>IF(AG38="1",H38,0)</f>
        <v>0</v>
      </c>
      <c r="S38" s="19">
        <f>IF(AG38="1",I38,0)</f>
        <v>0</v>
      </c>
      <c r="T38" s="19">
        <f>IF(AG38="7",H38,0)</f>
        <v>0</v>
      </c>
      <c r="U38" s="19">
        <f>IF(AG38="7",I38,0)</f>
        <v>0</v>
      </c>
      <c r="V38" s="19">
        <f>IF(AG38="2",H38,0)</f>
        <v>0</v>
      </c>
      <c r="W38" s="19">
        <f>IF(AG38="2",I38,0)</f>
        <v>0</v>
      </c>
      <c r="X38" s="19">
        <f>IF(AG38="0",J38,0)</f>
        <v>0</v>
      </c>
      <c r="Y38" s="13" t="s">
        <v>197</v>
      </c>
      <c r="Z38" s="10">
        <f>IF(AD38=0,J38,0)</f>
        <v>0</v>
      </c>
      <c r="AA38" s="10">
        <f>IF(AD38=15,J38,0)</f>
        <v>0</v>
      </c>
      <c r="AB38" s="10">
        <f>IF(AD38=21,J38,0)</f>
        <v>0</v>
      </c>
      <c r="AD38" s="19">
        <v>21</v>
      </c>
      <c r="AE38" s="19">
        <f>G38*0.604980706370087</f>
        <v>0</v>
      </c>
      <c r="AF38" s="19">
        <f>G38*(1-0.604980706370087)</f>
        <v>0</v>
      </c>
      <c r="AG38" s="15" t="s">
        <v>7</v>
      </c>
      <c r="AM38" s="19">
        <f>F38*AE38</f>
        <v>0</v>
      </c>
      <c r="AN38" s="19">
        <f>F38*AF38</f>
        <v>0</v>
      </c>
      <c r="AO38" s="20" t="s">
        <v>819</v>
      </c>
      <c r="AP38" s="20" t="s">
        <v>848</v>
      </c>
      <c r="AQ38" s="13" t="s">
        <v>859</v>
      </c>
      <c r="AS38" s="19">
        <f>AM38+AN38</f>
        <v>0</v>
      </c>
      <c r="AT38" s="19">
        <f>G38/(100-AU38)*100</f>
        <v>0</v>
      </c>
      <c r="AU38" s="19">
        <v>0</v>
      </c>
      <c r="AV38" s="19">
        <f>L38</f>
        <v>2.308243</v>
      </c>
    </row>
    <row r="39" spans="1:13" ht="12.75">
      <c r="A39" s="132"/>
      <c r="B39" s="132"/>
      <c r="C39" s="132"/>
      <c r="D39" s="133" t="s">
        <v>435</v>
      </c>
      <c r="E39" s="132"/>
      <c r="F39" s="134">
        <v>0.81</v>
      </c>
      <c r="G39" s="132"/>
      <c r="H39" s="132"/>
      <c r="I39" s="132"/>
      <c r="J39" s="132"/>
      <c r="K39" s="132"/>
      <c r="L39" s="132"/>
      <c r="M39" s="132"/>
    </row>
    <row r="40" spans="1:13" ht="12.75">
      <c r="A40" s="132"/>
      <c r="B40" s="132"/>
      <c r="C40" s="132"/>
      <c r="D40" s="133" t="s">
        <v>436</v>
      </c>
      <c r="E40" s="132"/>
      <c r="F40" s="134">
        <v>0.21</v>
      </c>
      <c r="G40" s="132"/>
      <c r="H40" s="132"/>
      <c r="I40" s="132"/>
      <c r="J40" s="132"/>
      <c r="K40" s="132"/>
      <c r="L40" s="132"/>
      <c r="M40" s="132"/>
    </row>
    <row r="41" spans="1:13" ht="12.75">
      <c r="A41" s="132"/>
      <c r="B41" s="132"/>
      <c r="C41" s="132"/>
      <c r="D41" s="133" t="s">
        <v>437</v>
      </c>
      <c r="E41" s="132"/>
      <c r="F41" s="134">
        <v>0.17</v>
      </c>
      <c r="G41" s="132"/>
      <c r="H41" s="132"/>
      <c r="I41" s="132"/>
      <c r="J41" s="132"/>
      <c r="K41" s="132"/>
      <c r="L41" s="132"/>
      <c r="M41" s="132"/>
    </row>
    <row r="42" spans="1:48" ht="12.75">
      <c r="A42" s="129" t="s">
        <v>19</v>
      </c>
      <c r="B42" s="129" t="s">
        <v>197</v>
      </c>
      <c r="C42" s="129" t="s">
        <v>211</v>
      </c>
      <c r="D42" s="129" t="s">
        <v>438</v>
      </c>
      <c r="E42" s="129" t="s">
        <v>775</v>
      </c>
      <c r="F42" s="130">
        <v>5.96</v>
      </c>
      <c r="G42" s="130">
        <v>0</v>
      </c>
      <c r="H42" s="130">
        <f>F42*AE42</f>
        <v>0</v>
      </c>
      <c r="I42" s="130">
        <f>J42-H42</f>
        <v>0</v>
      </c>
      <c r="J42" s="130">
        <f>F42*G42</f>
        <v>0</v>
      </c>
      <c r="K42" s="130">
        <v>2.525</v>
      </c>
      <c r="L42" s="130">
        <f>F42*K42</f>
        <v>15.049</v>
      </c>
      <c r="M42" s="131" t="s">
        <v>803</v>
      </c>
      <c r="P42" s="19">
        <f>IF(AG42="5",J42,0)</f>
        <v>0</v>
      </c>
      <c r="R42" s="19">
        <f>IF(AG42="1",H42,0)</f>
        <v>0</v>
      </c>
      <c r="S42" s="19">
        <f>IF(AG42="1",I42,0)</f>
        <v>0</v>
      </c>
      <c r="T42" s="19">
        <f>IF(AG42="7",H42,0)</f>
        <v>0</v>
      </c>
      <c r="U42" s="19">
        <f>IF(AG42="7",I42,0)</f>
        <v>0</v>
      </c>
      <c r="V42" s="19">
        <f>IF(AG42="2",H42,0)</f>
        <v>0</v>
      </c>
      <c r="W42" s="19">
        <f>IF(AG42="2",I42,0)</f>
        <v>0</v>
      </c>
      <c r="X42" s="19">
        <f>IF(AG42="0",J42,0)</f>
        <v>0</v>
      </c>
      <c r="Y42" s="13" t="s">
        <v>197</v>
      </c>
      <c r="Z42" s="10">
        <f>IF(AD42=0,J42,0)</f>
        <v>0</v>
      </c>
      <c r="AA42" s="10">
        <f>IF(AD42=15,J42,0)</f>
        <v>0</v>
      </c>
      <c r="AB42" s="10">
        <f>IF(AD42=21,J42,0)</f>
        <v>0</v>
      </c>
      <c r="AD42" s="19">
        <v>21</v>
      </c>
      <c r="AE42" s="19">
        <f>G42*0.898079079739986</f>
        <v>0</v>
      </c>
      <c r="AF42" s="19">
        <f>G42*(1-0.898079079739986)</f>
        <v>0</v>
      </c>
      <c r="AG42" s="15" t="s">
        <v>7</v>
      </c>
      <c r="AM42" s="19">
        <f>F42*AE42</f>
        <v>0</v>
      </c>
      <c r="AN42" s="19">
        <f>F42*AF42</f>
        <v>0</v>
      </c>
      <c r="AO42" s="20" t="s">
        <v>819</v>
      </c>
      <c r="AP42" s="20" t="s">
        <v>848</v>
      </c>
      <c r="AQ42" s="13" t="s">
        <v>859</v>
      </c>
      <c r="AS42" s="19">
        <f>AM42+AN42</f>
        <v>0</v>
      </c>
      <c r="AT42" s="19">
        <f>G42/(100-AU42)*100</f>
        <v>0</v>
      </c>
      <c r="AU42" s="19">
        <v>0</v>
      </c>
      <c r="AV42" s="19">
        <f>L42</f>
        <v>15.049</v>
      </c>
    </row>
    <row r="43" spans="1:13" ht="12.75">
      <c r="A43" s="132"/>
      <c r="B43" s="132"/>
      <c r="C43" s="132"/>
      <c r="D43" s="133" t="s">
        <v>439</v>
      </c>
      <c r="E43" s="132"/>
      <c r="F43" s="134">
        <v>4.05</v>
      </c>
      <c r="G43" s="132"/>
      <c r="H43" s="132"/>
      <c r="I43" s="132"/>
      <c r="J43" s="132"/>
      <c r="K43" s="132"/>
      <c r="L43" s="132"/>
      <c r="M43" s="132"/>
    </row>
    <row r="44" spans="1:13" ht="12.75">
      <c r="A44" s="132"/>
      <c r="B44" s="132"/>
      <c r="C44" s="132"/>
      <c r="D44" s="133" t="s">
        <v>440</v>
      </c>
      <c r="E44" s="132"/>
      <c r="F44" s="134">
        <v>1.06</v>
      </c>
      <c r="G44" s="132"/>
      <c r="H44" s="132"/>
      <c r="I44" s="132"/>
      <c r="J44" s="132"/>
      <c r="K44" s="132"/>
      <c r="L44" s="132"/>
      <c r="M44" s="132"/>
    </row>
    <row r="45" spans="1:13" ht="12.75">
      <c r="A45" s="132"/>
      <c r="B45" s="132"/>
      <c r="C45" s="132"/>
      <c r="D45" s="133" t="s">
        <v>441</v>
      </c>
      <c r="E45" s="132"/>
      <c r="F45" s="134">
        <v>0.85</v>
      </c>
      <c r="G45" s="132"/>
      <c r="H45" s="132"/>
      <c r="I45" s="132"/>
      <c r="J45" s="132"/>
      <c r="K45" s="132"/>
      <c r="L45" s="132"/>
      <c r="M45" s="132"/>
    </row>
    <row r="46" spans="1:48" ht="12.75">
      <c r="A46" s="129" t="s">
        <v>20</v>
      </c>
      <c r="B46" s="129" t="s">
        <v>197</v>
      </c>
      <c r="C46" s="129" t="s">
        <v>212</v>
      </c>
      <c r="D46" s="129" t="s">
        <v>442</v>
      </c>
      <c r="E46" s="129" t="s">
        <v>776</v>
      </c>
      <c r="F46" s="130">
        <v>6.23</v>
      </c>
      <c r="G46" s="130">
        <v>0</v>
      </c>
      <c r="H46" s="130">
        <f>F46*AE46</f>
        <v>0</v>
      </c>
      <c r="I46" s="130">
        <f>J46-H46</f>
        <v>0</v>
      </c>
      <c r="J46" s="130">
        <f>F46*G46</f>
        <v>0</v>
      </c>
      <c r="K46" s="130">
        <v>0.74</v>
      </c>
      <c r="L46" s="130">
        <f>F46*K46</f>
        <v>4.6102</v>
      </c>
      <c r="M46" s="131" t="s">
        <v>803</v>
      </c>
      <c r="P46" s="19">
        <f>IF(AG46="5",J46,0)</f>
        <v>0</v>
      </c>
      <c r="R46" s="19">
        <f>IF(AG46="1",H46,0)</f>
        <v>0</v>
      </c>
      <c r="S46" s="19">
        <f>IF(AG46="1",I46,0)</f>
        <v>0</v>
      </c>
      <c r="T46" s="19">
        <f>IF(AG46="7",H46,0)</f>
        <v>0</v>
      </c>
      <c r="U46" s="19">
        <f>IF(AG46="7",I46,0)</f>
        <v>0</v>
      </c>
      <c r="V46" s="19">
        <f>IF(AG46="2",H46,0)</f>
        <v>0</v>
      </c>
      <c r="W46" s="19">
        <f>IF(AG46="2",I46,0)</f>
        <v>0</v>
      </c>
      <c r="X46" s="19">
        <f>IF(AG46="0",J46,0)</f>
        <v>0</v>
      </c>
      <c r="Y46" s="13" t="s">
        <v>197</v>
      </c>
      <c r="Z46" s="10">
        <f>IF(AD46=0,J46,0)</f>
        <v>0</v>
      </c>
      <c r="AA46" s="10">
        <f>IF(AD46=15,J46,0)</f>
        <v>0</v>
      </c>
      <c r="AB46" s="10">
        <f>IF(AD46=21,J46,0)</f>
        <v>0</v>
      </c>
      <c r="AD46" s="19">
        <v>21</v>
      </c>
      <c r="AE46" s="19">
        <f>G46*0.654682112703711</f>
        <v>0</v>
      </c>
      <c r="AF46" s="19">
        <f>G46*(1-0.654682112703711)</f>
        <v>0</v>
      </c>
      <c r="AG46" s="15" t="s">
        <v>7</v>
      </c>
      <c r="AM46" s="19">
        <f>F46*AE46</f>
        <v>0</v>
      </c>
      <c r="AN46" s="19">
        <f>F46*AF46</f>
        <v>0</v>
      </c>
      <c r="AO46" s="20" t="s">
        <v>819</v>
      </c>
      <c r="AP46" s="20" t="s">
        <v>848</v>
      </c>
      <c r="AQ46" s="13" t="s">
        <v>859</v>
      </c>
      <c r="AS46" s="19">
        <f>AM46+AN46</f>
        <v>0</v>
      </c>
      <c r="AT46" s="19">
        <f>G46/(100-AU46)*100</f>
        <v>0</v>
      </c>
      <c r="AU46" s="19">
        <v>0</v>
      </c>
      <c r="AV46" s="19">
        <f>L46</f>
        <v>4.6102</v>
      </c>
    </row>
    <row r="47" spans="1:13" ht="12.75">
      <c r="A47" s="132"/>
      <c r="B47" s="132"/>
      <c r="C47" s="132"/>
      <c r="D47" s="133" t="s">
        <v>443</v>
      </c>
      <c r="E47" s="132"/>
      <c r="F47" s="134">
        <v>4</v>
      </c>
      <c r="G47" s="132"/>
      <c r="H47" s="132"/>
      <c r="I47" s="132"/>
      <c r="J47" s="132"/>
      <c r="K47" s="132"/>
      <c r="L47" s="132"/>
      <c r="M47" s="132"/>
    </row>
    <row r="48" spans="1:13" ht="12.75">
      <c r="A48" s="132"/>
      <c r="B48" s="132"/>
      <c r="C48" s="132"/>
      <c r="D48" s="133" t="s">
        <v>444</v>
      </c>
      <c r="E48" s="132"/>
      <c r="F48" s="134">
        <v>2.23</v>
      </c>
      <c r="G48" s="132"/>
      <c r="H48" s="132"/>
      <c r="I48" s="132"/>
      <c r="J48" s="132"/>
      <c r="K48" s="132"/>
      <c r="L48" s="132"/>
      <c r="M48" s="132"/>
    </row>
    <row r="49" spans="1:48" ht="12.75">
      <c r="A49" s="129" t="s">
        <v>21</v>
      </c>
      <c r="B49" s="129" t="s">
        <v>197</v>
      </c>
      <c r="C49" s="129" t="s">
        <v>213</v>
      </c>
      <c r="D49" s="129" t="s">
        <v>445</v>
      </c>
      <c r="E49" s="129" t="s">
        <v>777</v>
      </c>
      <c r="F49" s="130">
        <v>2</v>
      </c>
      <c r="G49" s="130">
        <v>0</v>
      </c>
      <c r="H49" s="130">
        <f>F49*AE49</f>
        <v>0</v>
      </c>
      <c r="I49" s="130">
        <f>J49-H49</f>
        <v>0</v>
      </c>
      <c r="J49" s="130">
        <f>F49*G49</f>
        <v>0</v>
      </c>
      <c r="K49" s="130">
        <v>0.00141</v>
      </c>
      <c r="L49" s="130">
        <f>F49*K49</f>
        <v>0.00282</v>
      </c>
      <c r="M49" s="131" t="s">
        <v>803</v>
      </c>
      <c r="P49" s="19">
        <f>IF(AG49="5",J49,0)</f>
        <v>0</v>
      </c>
      <c r="R49" s="19">
        <f>IF(AG49="1",H49,0)</f>
        <v>0</v>
      </c>
      <c r="S49" s="19">
        <f>IF(AG49="1",I49,0)</f>
        <v>0</v>
      </c>
      <c r="T49" s="19">
        <f>IF(AG49="7",H49,0)</f>
        <v>0</v>
      </c>
      <c r="U49" s="19">
        <f>IF(AG49="7",I49,0)</f>
        <v>0</v>
      </c>
      <c r="V49" s="19">
        <f>IF(AG49="2",H49,0)</f>
        <v>0</v>
      </c>
      <c r="W49" s="19">
        <f>IF(AG49="2",I49,0)</f>
        <v>0</v>
      </c>
      <c r="X49" s="19">
        <f>IF(AG49="0",J49,0)</f>
        <v>0</v>
      </c>
      <c r="Y49" s="13" t="s">
        <v>197</v>
      </c>
      <c r="Z49" s="10">
        <f>IF(AD49=0,J49,0)</f>
        <v>0</v>
      </c>
      <c r="AA49" s="10">
        <f>IF(AD49=15,J49,0)</f>
        <v>0</v>
      </c>
      <c r="AB49" s="10">
        <f>IF(AD49=21,J49,0)</f>
        <v>0</v>
      </c>
      <c r="AD49" s="19">
        <v>21</v>
      </c>
      <c r="AE49" s="19">
        <f>G49*0.269770992366412</f>
        <v>0</v>
      </c>
      <c r="AF49" s="19">
        <f>G49*(1-0.269770992366412)</f>
        <v>0</v>
      </c>
      <c r="AG49" s="15" t="s">
        <v>7</v>
      </c>
      <c r="AM49" s="19">
        <f>F49*AE49</f>
        <v>0</v>
      </c>
      <c r="AN49" s="19">
        <f>F49*AF49</f>
        <v>0</v>
      </c>
      <c r="AO49" s="20" t="s">
        <v>819</v>
      </c>
      <c r="AP49" s="20" t="s">
        <v>848</v>
      </c>
      <c r="AQ49" s="13" t="s">
        <v>859</v>
      </c>
      <c r="AS49" s="19">
        <f>AM49+AN49</f>
        <v>0</v>
      </c>
      <c r="AT49" s="19">
        <f>G49/(100-AU49)*100</f>
        <v>0</v>
      </c>
      <c r="AU49" s="19">
        <v>0</v>
      </c>
      <c r="AV49" s="19">
        <f>L49</f>
        <v>0.00282</v>
      </c>
    </row>
    <row r="50" spans="1:48" ht="12.75">
      <c r="A50" s="129" t="s">
        <v>22</v>
      </c>
      <c r="B50" s="129" t="s">
        <v>197</v>
      </c>
      <c r="C50" s="129" t="s">
        <v>214</v>
      </c>
      <c r="D50" s="129" t="s">
        <v>446</v>
      </c>
      <c r="E50" s="129" t="s">
        <v>778</v>
      </c>
      <c r="F50" s="130">
        <v>0.1</v>
      </c>
      <c r="G50" s="130">
        <v>0</v>
      </c>
      <c r="H50" s="130">
        <f>F50*AE50</f>
        <v>0</v>
      </c>
      <c r="I50" s="130">
        <f>J50-H50</f>
        <v>0</v>
      </c>
      <c r="J50" s="130">
        <f>F50*G50</f>
        <v>0</v>
      </c>
      <c r="K50" s="130">
        <v>1.00349</v>
      </c>
      <c r="L50" s="130">
        <f>F50*K50</f>
        <v>0.10034900000000001</v>
      </c>
      <c r="M50" s="131" t="s">
        <v>803</v>
      </c>
      <c r="P50" s="19">
        <f>IF(AG50="5",J50,0)</f>
        <v>0</v>
      </c>
      <c r="R50" s="19">
        <f>IF(AG50="1",H50,0)</f>
        <v>0</v>
      </c>
      <c r="S50" s="19">
        <f>IF(AG50="1",I50,0)</f>
        <v>0</v>
      </c>
      <c r="T50" s="19">
        <f>IF(AG50="7",H50,0)</f>
        <v>0</v>
      </c>
      <c r="U50" s="19">
        <f>IF(AG50="7",I50,0)</f>
        <v>0</v>
      </c>
      <c r="V50" s="19">
        <f>IF(AG50="2",H50,0)</f>
        <v>0</v>
      </c>
      <c r="W50" s="19">
        <f>IF(AG50="2",I50,0)</f>
        <v>0</v>
      </c>
      <c r="X50" s="19">
        <f>IF(AG50="0",J50,0)</f>
        <v>0</v>
      </c>
      <c r="Y50" s="13" t="s">
        <v>197</v>
      </c>
      <c r="Z50" s="10">
        <f>IF(AD50=0,J50,0)</f>
        <v>0</v>
      </c>
      <c r="AA50" s="10">
        <f>IF(AD50=15,J50,0)</f>
        <v>0</v>
      </c>
      <c r="AB50" s="10">
        <f>IF(AD50=21,J50,0)</f>
        <v>0</v>
      </c>
      <c r="AD50" s="19">
        <v>21</v>
      </c>
      <c r="AE50" s="19">
        <f>G50*0.509632715195129</f>
        <v>0</v>
      </c>
      <c r="AF50" s="19">
        <f>G50*(1-0.509632715195129)</f>
        <v>0</v>
      </c>
      <c r="AG50" s="15" t="s">
        <v>7</v>
      </c>
      <c r="AM50" s="19">
        <f>F50*AE50</f>
        <v>0</v>
      </c>
      <c r="AN50" s="19">
        <f>F50*AF50</f>
        <v>0</v>
      </c>
      <c r="AO50" s="20" t="s">
        <v>819</v>
      </c>
      <c r="AP50" s="20" t="s">
        <v>848</v>
      </c>
      <c r="AQ50" s="13" t="s">
        <v>859</v>
      </c>
      <c r="AS50" s="19">
        <f>AM50+AN50</f>
        <v>0</v>
      </c>
      <c r="AT50" s="19">
        <f>G50/(100-AU50)*100</f>
        <v>0</v>
      </c>
      <c r="AU50" s="19">
        <v>0</v>
      </c>
      <c r="AV50" s="19">
        <f>L50</f>
        <v>0.10034900000000001</v>
      </c>
    </row>
    <row r="51" spans="1:48" ht="12.75">
      <c r="A51" s="129" t="s">
        <v>23</v>
      </c>
      <c r="B51" s="129" t="s">
        <v>197</v>
      </c>
      <c r="C51" s="129" t="s">
        <v>215</v>
      </c>
      <c r="D51" s="129" t="s">
        <v>447</v>
      </c>
      <c r="E51" s="129" t="s">
        <v>779</v>
      </c>
      <c r="F51" s="130">
        <v>0.6</v>
      </c>
      <c r="G51" s="130">
        <v>0</v>
      </c>
      <c r="H51" s="130">
        <f>F51*AE51</f>
        <v>0</v>
      </c>
      <c r="I51" s="130">
        <f>J51-H51</f>
        <v>0</v>
      </c>
      <c r="J51" s="130">
        <f>F51*G51</f>
        <v>0</v>
      </c>
      <c r="K51" s="130">
        <v>0.00357</v>
      </c>
      <c r="L51" s="130">
        <f>F51*K51</f>
        <v>0.002142</v>
      </c>
      <c r="M51" s="131" t="s">
        <v>803</v>
      </c>
      <c r="P51" s="19">
        <f>IF(AG51="5",J51,0)</f>
        <v>0</v>
      </c>
      <c r="R51" s="19">
        <f>IF(AG51="1",H51,0)</f>
        <v>0</v>
      </c>
      <c r="S51" s="19">
        <f>IF(AG51="1",I51,0)</f>
        <v>0</v>
      </c>
      <c r="T51" s="19">
        <f>IF(AG51="7",H51,0)</f>
        <v>0</v>
      </c>
      <c r="U51" s="19">
        <f>IF(AG51="7",I51,0)</f>
        <v>0</v>
      </c>
      <c r="V51" s="19">
        <f>IF(AG51="2",H51,0)</f>
        <v>0</v>
      </c>
      <c r="W51" s="19">
        <f>IF(AG51="2",I51,0)</f>
        <v>0</v>
      </c>
      <c r="X51" s="19">
        <f>IF(AG51="0",J51,0)</f>
        <v>0</v>
      </c>
      <c r="Y51" s="13" t="s">
        <v>197</v>
      </c>
      <c r="Z51" s="10">
        <f>IF(AD51=0,J51,0)</f>
        <v>0</v>
      </c>
      <c r="AA51" s="10">
        <f>IF(AD51=15,J51,0)</f>
        <v>0</v>
      </c>
      <c r="AB51" s="10">
        <f>IF(AD51=21,J51,0)</f>
        <v>0</v>
      </c>
      <c r="AD51" s="19">
        <v>21</v>
      </c>
      <c r="AE51" s="19">
        <f>G51*0.623960396039604</f>
        <v>0</v>
      </c>
      <c r="AF51" s="19">
        <f>G51*(1-0.623960396039604)</f>
        <v>0</v>
      </c>
      <c r="AG51" s="15" t="s">
        <v>7</v>
      </c>
      <c r="AM51" s="19">
        <f>F51*AE51</f>
        <v>0</v>
      </c>
      <c r="AN51" s="19">
        <f>F51*AF51</f>
        <v>0</v>
      </c>
      <c r="AO51" s="20" t="s">
        <v>819</v>
      </c>
      <c r="AP51" s="20" t="s">
        <v>848</v>
      </c>
      <c r="AQ51" s="13" t="s">
        <v>859</v>
      </c>
      <c r="AS51" s="19">
        <f>AM51+AN51</f>
        <v>0</v>
      </c>
      <c r="AT51" s="19">
        <f>G51/(100-AU51)*100</f>
        <v>0</v>
      </c>
      <c r="AU51" s="19">
        <v>0</v>
      </c>
      <c r="AV51" s="19">
        <f>L51</f>
        <v>0.002142</v>
      </c>
    </row>
    <row r="52" spans="1:13" ht="12.75">
      <c r="A52" s="132"/>
      <c r="B52" s="132"/>
      <c r="C52" s="132"/>
      <c r="D52" s="133" t="s">
        <v>448</v>
      </c>
      <c r="E52" s="132"/>
      <c r="F52" s="134">
        <v>0.6</v>
      </c>
      <c r="G52" s="132"/>
      <c r="H52" s="132"/>
      <c r="I52" s="132"/>
      <c r="J52" s="132"/>
      <c r="K52" s="132"/>
      <c r="L52" s="132"/>
      <c r="M52" s="132"/>
    </row>
    <row r="53" spans="1:48" ht="12.75">
      <c r="A53" s="129" t="s">
        <v>24</v>
      </c>
      <c r="B53" s="129" t="s">
        <v>197</v>
      </c>
      <c r="C53" s="129" t="s">
        <v>216</v>
      </c>
      <c r="D53" s="129" t="s">
        <v>449</v>
      </c>
      <c r="E53" s="129" t="s">
        <v>779</v>
      </c>
      <c r="F53" s="130">
        <v>2.5</v>
      </c>
      <c r="G53" s="130">
        <v>0</v>
      </c>
      <c r="H53" s="130">
        <f>F53*AE53</f>
        <v>0</v>
      </c>
      <c r="I53" s="130">
        <f>J53-H53</f>
        <v>0</v>
      </c>
      <c r="J53" s="130">
        <f>F53*G53</f>
        <v>0</v>
      </c>
      <c r="K53" s="130">
        <v>0.0021</v>
      </c>
      <c r="L53" s="130">
        <f>F53*K53</f>
        <v>0.0052499999999999995</v>
      </c>
      <c r="M53" s="131" t="s">
        <v>803</v>
      </c>
      <c r="P53" s="19">
        <f>IF(AG53="5",J53,0)</f>
        <v>0</v>
      </c>
      <c r="R53" s="19">
        <f>IF(AG53="1",H53,0)</f>
        <v>0</v>
      </c>
      <c r="S53" s="19">
        <f>IF(AG53="1",I53,0)</f>
        <v>0</v>
      </c>
      <c r="T53" s="19">
        <f>IF(AG53="7",H53,0)</f>
        <v>0</v>
      </c>
      <c r="U53" s="19">
        <f>IF(AG53="7",I53,0)</f>
        <v>0</v>
      </c>
      <c r="V53" s="19">
        <f>IF(AG53="2",H53,0)</f>
        <v>0</v>
      </c>
      <c r="W53" s="19">
        <f>IF(AG53="2",I53,0)</f>
        <v>0</v>
      </c>
      <c r="X53" s="19">
        <f>IF(AG53="0",J53,0)</f>
        <v>0</v>
      </c>
      <c r="Y53" s="13" t="s">
        <v>197</v>
      </c>
      <c r="Z53" s="10">
        <f>IF(AD53=0,J53,0)</f>
        <v>0</v>
      </c>
      <c r="AA53" s="10">
        <f>IF(AD53=15,J53,0)</f>
        <v>0</v>
      </c>
      <c r="AB53" s="10">
        <f>IF(AD53=21,J53,0)</f>
        <v>0</v>
      </c>
      <c r="AD53" s="19">
        <v>21</v>
      </c>
      <c r="AE53" s="19">
        <f>G53*0.385046382189239</f>
        <v>0</v>
      </c>
      <c r="AF53" s="19">
        <f>G53*(1-0.385046382189239)</f>
        <v>0</v>
      </c>
      <c r="AG53" s="15" t="s">
        <v>7</v>
      </c>
      <c r="AM53" s="19">
        <f>F53*AE53</f>
        <v>0</v>
      </c>
      <c r="AN53" s="19">
        <f>F53*AF53</f>
        <v>0</v>
      </c>
      <c r="AO53" s="20" t="s">
        <v>819</v>
      </c>
      <c r="AP53" s="20" t="s">
        <v>848</v>
      </c>
      <c r="AQ53" s="13" t="s">
        <v>859</v>
      </c>
      <c r="AS53" s="19">
        <f>AM53+AN53</f>
        <v>0</v>
      </c>
      <c r="AT53" s="19">
        <f>G53/(100-AU53)*100</f>
        <v>0</v>
      </c>
      <c r="AU53" s="19">
        <v>0</v>
      </c>
      <c r="AV53" s="19">
        <f>L53</f>
        <v>0.0052499999999999995</v>
      </c>
    </row>
    <row r="54" spans="1:13" ht="12.75">
      <c r="A54" s="132"/>
      <c r="B54" s="132"/>
      <c r="C54" s="132"/>
      <c r="D54" s="133" t="s">
        <v>450</v>
      </c>
      <c r="E54" s="132"/>
      <c r="F54" s="134">
        <v>2.5</v>
      </c>
      <c r="G54" s="132"/>
      <c r="H54" s="132"/>
      <c r="I54" s="132"/>
      <c r="J54" s="132"/>
      <c r="K54" s="132"/>
      <c r="L54" s="132"/>
      <c r="M54" s="132"/>
    </row>
    <row r="55" spans="1:48" ht="12.75">
      <c r="A55" s="129" t="s">
        <v>25</v>
      </c>
      <c r="B55" s="129" t="s">
        <v>197</v>
      </c>
      <c r="C55" s="129" t="s">
        <v>217</v>
      </c>
      <c r="D55" s="129" t="s">
        <v>451</v>
      </c>
      <c r="E55" s="129" t="s">
        <v>775</v>
      </c>
      <c r="F55" s="130">
        <v>6.06</v>
      </c>
      <c r="G55" s="130">
        <v>0</v>
      </c>
      <c r="H55" s="130">
        <f>F55*AE55</f>
        <v>0</v>
      </c>
      <c r="I55" s="130">
        <f>J55-H55</f>
        <v>0</v>
      </c>
      <c r="J55" s="130">
        <f>F55*G55</f>
        <v>0</v>
      </c>
      <c r="K55" s="130">
        <v>2.525</v>
      </c>
      <c r="L55" s="130">
        <f>F55*K55</f>
        <v>15.301499999999999</v>
      </c>
      <c r="M55" s="131" t="s">
        <v>803</v>
      </c>
      <c r="P55" s="19">
        <f>IF(AG55="5",J55,0)</f>
        <v>0</v>
      </c>
      <c r="R55" s="19">
        <f>IF(AG55="1",H55,0)</f>
        <v>0</v>
      </c>
      <c r="S55" s="19">
        <f>IF(AG55="1",I55,0)</f>
        <v>0</v>
      </c>
      <c r="T55" s="19">
        <f>IF(AG55="7",H55,0)</f>
        <v>0</v>
      </c>
      <c r="U55" s="19">
        <f>IF(AG55="7",I55,0)</f>
        <v>0</v>
      </c>
      <c r="V55" s="19">
        <f>IF(AG55="2",H55,0)</f>
        <v>0</v>
      </c>
      <c r="W55" s="19">
        <f>IF(AG55="2",I55,0)</f>
        <v>0</v>
      </c>
      <c r="X55" s="19">
        <f>IF(AG55="0",J55,0)</f>
        <v>0</v>
      </c>
      <c r="Y55" s="13" t="s">
        <v>197</v>
      </c>
      <c r="Z55" s="10">
        <f>IF(AD55=0,J55,0)</f>
        <v>0</v>
      </c>
      <c r="AA55" s="10">
        <f>IF(AD55=15,J55,0)</f>
        <v>0</v>
      </c>
      <c r="AB55" s="10">
        <f>IF(AD55=21,J55,0)</f>
        <v>0</v>
      </c>
      <c r="AD55" s="19">
        <v>21</v>
      </c>
      <c r="AE55" s="19">
        <f>G55*0.901861374140276</f>
        <v>0</v>
      </c>
      <c r="AF55" s="19">
        <f>G55*(1-0.901861374140276)</f>
        <v>0</v>
      </c>
      <c r="AG55" s="15" t="s">
        <v>7</v>
      </c>
      <c r="AM55" s="19">
        <f>F55*AE55</f>
        <v>0</v>
      </c>
      <c r="AN55" s="19">
        <f>F55*AF55</f>
        <v>0</v>
      </c>
      <c r="AO55" s="20" t="s">
        <v>819</v>
      </c>
      <c r="AP55" s="20" t="s">
        <v>848</v>
      </c>
      <c r="AQ55" s="13" t="s">
        <v>859</v>
      </c>
      <c r="AS55" s="19">
        <f>AM55+AN55</f>
        <v>0</v>
      </c>
      <c r="AT55" s="19">
        <f>G55/(100-AU55)*100</f>
        <v>0</v>
      </c>
      <c r="AU55" s="19">
        <v>0</v>
      </c>
      <c r="AV55" s="19">
        <f>L55</f>
        <v>15.301499999999999</v>
      </c>
    </row>
    <row r="56" spans="1:13" ht="12.75">
      <c r="A56" s="132"/>
      <c r="B56" s="132"/>
      <c r="C56" s="132"/>
      <c r="D56" s="133" t="s">
        <v>452</v>
      </c>
      <c r="E56" s="132"/>
      <c r="F56" s="134">
        <v>6.06</v>
      </c>
      <c r="G56" s="132"/>
      <c r="H56" s="132"/>
      <c r="I56" s="132"/>
      <c r="J56" s="132"/>
      <c r="K56" s="132"/>
      <c r="L56" s="132"/>
      <c r="M56" s="132"/>
    </row>
    <row r="57" spans="1:48" ht="12.75">
      <c r="A57" s="129" t="s">
        <v>26</v>
      </c>
      <c r="B57" s="129" t="s">
        <v>197</v>
      </c>
      <c r="C57" s="129" t="s">
        <v>218</v>
      </c>
      <c r="D57" s="129" t="s">
        <v>453</v>
      </c>
      <c r="E57" s="129" t="s">
        <v>776</v>
      </c>
      <c r="F57" s="130">
        <v>4.21</v>
      </c>
      <c r="G57" s="130">
        <v>0</v>
      </c>
      <c r="H57" s="130">
        <f>F57*AE57</f>
        <v>0</v>
      </c>
      <c r="I57" s="130">
        <f>J57-H57</f>
        <v>0</v>
      </c>
      <c r="J57" s="130">
        <f>F57*G57</f>
        <v>0</v>
      </c>
      <c r="K57" s="130">
        <v>0.0364</v>
      </c>
      <c r="L57" s="130">
        <f>F57*K57</f>
        <v>0.15324400000000002</v>
      </c>
      <c r="M57" s="131" t="s">
        <v>803</v>
      </c>
      <c r="P57" s="19">
        <f>IF(AG57="5",J57,0)</f>
        <v>0</v>
      </c>
      <c r="R57" s="19">
        <f>IF(AG57="1",H57,0)</f>
        <v>0</v>
      </c>
      <c r="S57" s="19">
        <f>IF(AG57="1",I57,0)</f>
        <v>0</v>
      </c>
      <c r="T57" s="19">
        <f>IF(AG57="7",H57,0)</f>
        <v>0</v>
      </c>
      <c r="U57" s="19">
        <f>IF(AG57="7",I57,0)</f>
        <v>0</v>
      </c>
      <c r="V57" s="19">
        <f>IF(AG57="2",H57,0)</f>
        <v>0</v>
      </c>
      <c r="W57" s="19">
        <f>IF(AG57="2",I57,0)</f>
        <v>0</v>
      </c>
      <c r="X57" s="19">
        <f>IF(AG57="0",J57,0)</f>
        <v>0</v>
      </c>
      <c r="Y57" s="13" t="s">
        <v>197</v>
      </c>
      <c r="Z57" s="10">
        <f>IF(AD57=0,J57,0)</f>
        <v>0</v>
      </c>
      <c r="AA57" s="10">
        <f>IF(AD57=15,J57,0)</f>
        <v>0</v>
      </c>
      <c r="AB57" s="10">
        <f>IF(AD57=21,J57,0)</f>
        <v>0</v>
      </c>
      <c r="AD57" s="19">
        <v>21</v>
      </c>
      <c r="AE57" s="19">
        <f>G57*0.667011633050248</f>
        <v>0</v>
      </c>
      <c r="AF57" s="19">
        <f>G57*(1-0.667011633050248)</f>
        <v>0</v>
      </c>
      <c r="AG57" s="15" t="s">
        <v>7</v>
      </c>
      <c r="AM57" s="19">
        <f>F57*AE57</f>
        <v>0</v>
      </c>
      <c r="AN57" s="19">
        <f>F57*AF57</f>
        <v>0</v>
      </c>
      <c r="AO57" s="20" t="s">
        <v>819</v>
      </c>
      <c r="AP57" s="20" t="s">
        <v>848</v>
      </c>
      <c r="AQ57" s="13" t="s">
        <v>859</v>
      </c>
      <c r="AS57" s="19">
        <f>AM57+AN57</f>
        <v>0</v>
      </c>
      <c r="AT57" s="19">
        <f>G57/(100-AU57)*100</f>
        <v>0</v>
      </c>
      <c r="AU57" s="19">
        <v>0</v>
      </c>
      <c r="AV57" s="19">
        <f>L57</f>
        <v>0.15324400000000002</v>
      </c>
    </row>
    <row r="58" spans="1:13" ht="12.75">
      <c r="A58" s="132"/>
      <c r="B58" s="132"/>
      <c r="C58" s="132"/>
      <c r="D58" s="133" t="s">
        <v>454</v>
      </c>
      <c r="E58" s="132"/>
      <c r="F58" s="134">
        <v>4.21</v>
      </c>
      <c r="G58" s="132"/>
      <c r="H58" s="132"/>
      <c r="I58" s="132"/>
      <c r="J58" s="132"/>
      <c r="K58" s="132"/>
      <c r="L58" s="132"/>
      <c r="M58" s="132"/>
    </row>
    <row r="59" spans="1:48" ht="12.75">
      <c r="A59" s="129" t="s">
        <v>27</v>
      </c>
      <c r="B59" s="129" t="s">
        <v>197</v>
      </c>
      <c r="C59" s="129" t="s">
        <v>219</v>
      </c>
      <c r="D59" s="129" t="s">
        <v>455</v>
      </c>
      <c r="E59" s="129" t="s">
        <v>776</v>
      </c>
      <c r="F59" s="130">
        <v>4.21</v>
      </c>
      <c r="G59" s="130">
        <v>0</v>
      </c>
      <c r="H59" s="130">
        <f>F59*AE59</f>
        <v>0</v>
      </c>
      <c r="I59" s="130">
        <f>J59-H59</f>
        <v>0</v>
      </c>
      <c r="J59" s="130">
        <f>F59*G59</f>
        <v>0</v>
      </c>
      <c r="K59" s="130">
        <v>0</v>
      </c>
      <c r="L59" s="130">
        <f>F59*K59</f>
        <v>0</v>
      </c>
      <c r="M59" s="131" t="s">
        <v>803</v>
      </c>
      <c r="P59" s="19">
        <f>IF(AG59="5",J59,0)</f>
        <v>0</v>
      </c>
      <c r="R59" s="19">
        <f>IF(AG59="1",H59,0)</f>
        <v>0</v>
      </c>
      <c r="S59" s="19">
        <f>IF(AG59="1",I59,0)</f>
        <v>0</v>
      </c>
      <c r="T59" s="19">
        <f>IF(AG59="7",H59,0)</f>
        <v>0</v>
      </c>
      <c r="U59" s="19">
        <f>IF(AG59="7",I59,0)</f>
        <v>0</v>
      </c>
      <c r="V59" s="19">
        <f>IF(AG59="2",H59,0)</f>
        <v>0</v>
      </c>
      <c r="W59" s="19">
        <f>IF(AG59="2",I59,0)</f>
        <v>0</v>
      </c>
      <c r="X59" s="19">
        <f>IF(AG59="0",J59,0)</f>
        <v>0</v>
      </c>
      <c r="Y59" s="13" t="s">
        <v>197</v>
      </c>
      <c r="Z59" s="10">
        <f>IF(AD59=0,J59,0)</f>
        <v>0</v>
      </c>
      <c r="AA59" s="10">
        <f>IF(AD59=15,J59,0)</f>
        <v>0</v>
      </c>
      <c r="AB59" s="10">
        <f>IF(AD59=21,J59,0)</f>
        <v>0</v>
      </c>
      <c r="AD59" s="19">
        <v>21</v>
      </c>
      <c r="AE59" s="19">
        <f>G59*0</f>
        <v>0</v>
      </c>
      <c r="AF59" s="19">
        <f>G59*(1-0)</f>
        <v>0</v>
      </c>
      <c r="AG59" s="15" t="s">
        <v>7</v>
      </c>
      <c r="AM59" s="19">
        <f>F59*AE59</f>
        <v>0</v>
      </c>
      <c r="AN59" s="19">
        <f>F59*AF59</f>
        <v>0</v>
      </c>
      <c r="AO59" s="20" t="s">
        <v>819</v>
      </c>
      <c r="AP59" s="20" t="s">
        <v>848</v>
      </c>
      <c r="AQ59" s="13" t="s">
        <v>859</v>
      </c>
      <c r="AS59" s="19">
        <f>AM59+AN59</f>
        <v>0</v>
      </c>
      <c r="AT59" s="19">
        <f>G59/(100-AU59)*100</f>
        <v>0</v>
      </c>
      <c r="AU59" s="19">
        <v>0</v>
      </c>
      <c r="AV59" s="19">
        <f>L59</f>
        <v>0</v>
      </c>
    </row>
    <row r="60" spans="1:48" ht="12.75">
      <c r="A60" s="129" t="s">
        <v>28</v>
      </c>
      <c r="B60" s="129" t="s">
        <v>197</v>
      </c>
      <c r="C60" s="129" t="s">
        <v>220</v>
      </c>
      <c r="D60" s="129" t="s">
        <v>456</v>
      </c>
      <c r="E60" s="129" t="s">
        <v>778</v>
      </c>
      <c r="F60" s="130">
        <v>0.14</v>
      </c>
      <c r="G60" s="130">
        <v>0</v>
      </c>
      <c r="H60" s="130">
        <f>F60*AE60</f>
        <v>0</v>
      </c>
      <c r="I60" s="130">
        <f>J60-H60</f>
        <v>0</v>
      </c>
      <c r="J60" s="130">
        <f>F60*G60</f>
        <v>0</v>
      </c>
      <c r="K60" s="130">
        <v>1.05544</v>
      </c>
      <c r="L60" s="130">
        <f>F60*K60</f>
        <v>0.1477616</v>
      </c>
      <c r="M60" s="131" t="s">
        <v>803</v>
      </c>
      <c r="P60" s="19">
        <f>IF(AG60="5",J60,0)</f>
        <v>0</v>
      </c>
      <c r="R60" s="19">
        <f>IF(AG60="1",H60,0)</f>
        <v>0</v>
      </c>
      <c r="S60" s="19">
        <f>IF(AG60="1",I60,0)</f>
        <v>0</v>
      </c>
      <c r="T60" s="19">
        <f>IF(AG60="7",H60,0)</f>
        <v>0</v>
      </c>
      <c r="U60" s="19">
        <f>IF(AG60="7",I60,0)</f>
        <v>0</v>
      </c>
      <c r="V60" s="19">
        <f>IF(AG60="2",H60,0)</f>
        <v>0</v>
      </c>
      <c r="W60" s="19">
        <f>IF(AG60="2",I60,0)</f>
        <v>0</v>
      </c>
      <c r="X60" s="19">
        <f>IF(AG60="0",J60,0)</f>
        <v>0</v>
      </c>
      <c r="Y60" s="13" t="s">
        <v>197</v>
      </c>
      <c r="Z60" s="10">
        <f>IF(AD60=0,J60,0)</f>
        <v>0</v>
      </c>
      <c r="AA60" s="10">
        <f>IF(AD60=15,J60,0)</f>
        <v>0</v>
      </c>
      <c r="AB60" s="10">
        <f>IF(AD60=21,J60,0)</f>
        <v>0</v>
      </c>
      <c r="AD60" s="19">
        <v>21</v>
      </c>
      <c r="AE60" s="19">
        <f>G60*0.817131459655485</f>
        <v>0</v>
      </c>
      <c r="AF60" s="19">
        <f>G60*(1-0.817131459655485)</f>
        <v>0</v>
      </c>
      <c r="AG60" s="15" t="s">
        <v>7</v>
      </c>
      <c r="AM60" s="19">
        <f>F60*AE60</f>
        <v>0</v>
      </c>
      <c r="AN60" s="19">
        <f>F60*AF60</f>
        <v>0</v>
      </c>
      <c r="AO60" s="20" t="s">
        <v>819</v>
      </c>
      <c r="AP60" s="20" t="s">
        <v>848</v>
      </c>
      <c r="AQ60" s="13" t="s">
        <v>859</v>
      </c>
      <c r="AS60" s="19">
        <f>AM60+AN60</f>
        <v>0</v>
      </c>
      <c r="AT60" s="19">
        <f>G60/(100-AU60)*100</f>
        <v>0</v>
      </c>
      <c r="AU60" s="19">
        <v>0</v>
      </c>
      <c r="AV60" s="19">
        <f>L60</f>
        <v>0.1477616</v>
      </c>
    </row>
    <row r="61" spans="1:13" ht="12.75">
      <c r="A61" s="132"/>
      <c r="B61" s="132"/>
      <c r="C61" s="132"/>
      <c r="D61" s="133" t="s">
        <v>457</v>
      </c>
      <c r="E61" s="132"/>
      <c r="F61" s="134">
        <v>0.14</v>
      </c>
      <c r="G61" s="132"/>
      <c r="H61" s="132"/>
      <c r="I61" s="132"/>
      <c r="J61" s="132"/>
      <c r="K61" s="132"/>
      <c r="L61" s="132"/>
      <c r="M61" s="132"/>
    </row>
    <row r="62" spans="1:48" ht="12.75">
      <c r="A62" s="129" t="s">
        <v>29</v>
      </c>
      <c r="B62" s="129" t="s">
        <v>197</v>
      </c>
      <c r="C62" s="129" t="s">
        <v>221</v>
      </c>
      <c r="D62" s="129" t="s">
        <v>458</v>
      </c>
      <c r="E62" s="129" t="s">
        <v>775</v>
      </c>
      <c r="F62" s="130">
        <v>4.21</v>
      </c>
      <c r="G62" s="130">
        <v>0</v>
      </c>
      <c r="H62" s="130">
        <f>F62*AE62</f>
        <v>0</v>
      </c>
      <c r="I62" s="130">
        <f>J62-H62</f>
        <v>0</v>
      </c>
      <c r="J62" s="130">
        <f>F62*G62</f>
        <v>0</v>
      </c>
      <c r="K62" s="130">
        <v>0</v>
      </c>
      <c r="L62" s="130">
        <f>F62*K62</f>
        <v>0</v>
      </c>
      <c r="M62" s="131" t="s">
        <v>803</v>
      </c>
      <c r="P62" s="19">
        <f>IF(AG62="5",J62,0)</f>
        <v>0</v>
      </c>
      <c r="R62" s="19">
        <f>IF(AG62="1",H62,0)</f>
        <v>0</v>
      </c>
      <c r="S62" s="19">
        <f>IF(AG62="1",I62,0)</f>
        <v>0</v>
      </c>
      <c r="T62" s="19">
        <f>IF(AG62="7",H62,0)</f>
        <v>0</v>
      </c>
      <c r="U62" s="19">
        <f>IF(AG62="7",I62,0)</f>
        <v>0</v>
      </c>
      <c r="V62" s="19">
        <f>IF(AG62="2",H62,0)</f>
        <v>0</v>
      </c>
      <c r="W62" s="19">
        <f>IF(AG62="2",I62,0)</f>
        <v>0</v>
      </c>
      <c r="X62" s="19">
        <f>IF(AG62="0",J62,0)</f>
        <v>0</v>
      </c>
      <c r="Y62" s="13" t="s">
        <v>197</v>
      </c>
      <c r="Z62" s="10">
        <f>IF(AD62=0,J62,0)</f>
        <v>0</v>
      </c>
      <c r="AA62" s="10">
        <f>IF(AD62=15,J62,0)</f>
        <v>0</v>
      </c>
      <c r="AB62" s="10">
        <f>IF(AD62=21,J62,0)</f>
        <v>0</v>
      </c>
      <c r="AD62" s="19">
        <v>21</v>
      </c>
      <c r="AE62" s="19">
        <f>G62*0</f>
        <v>0</v>
      </c>
      <c r="AF62" s="19">
        <f>G62*(1-0)</f>
        <v>0</v>
      </c>
      <c r="AG62" s="15" t="s">
        <v>7</v>
      </c>
      <c r="AM62" s="19">
        <f>F62*AE62</f>
        <v>0</v>
      </c>
      <c r="AN62" s="19">
        <f>F62*AF62</f>
        <v>0</v>
      </c>
      <c r="AO62" s="20" t="s">
        <v>819</v>
      </c>
      <c r="AP62" s="20" t="s">
        <v>848</v>
      </c>
      <c r="AQ62" s="13" t="s">
        <v>859</v>
      </c>
      <c r="AS62" s="19">
        <f>AM62+AN62</f>
        <v>0</v>
      </c>
      <c r="AT62" s="19">
        <f>G62/(100-AU62)*100</f>
        <v>0</v>
      </c>
      <c r="AU62" s="19">
        <v>0</v>
      </c>
      <c r="AV62" s="19">
        <f>L62</f>
        <v>0</v>
      </c>
    </row>
    <row r="63" spans="1:48" ht="12.75">
      <c r="A63" s="129" t="s">
        <v>30</v>
      </c>
      <c r="B63" s="129" t="s">
        <v>197</v>
      </c>
      <c r="C63" s="129" t="s">
        <v>222</v>
      </c>
      <c r="D63" s="129" t="s">
        <v>459</v>
      </c>
      <c r="E63" s="129" t="s">
        <v>775</v>
      </c>
      <c r="F63" s="130">
        <v>3.65</v>
      </c>
      <c r="G63" s="130">
        <v>0</v>
      </c>
      <c r="H63" s="130">
        <f>F63*AE63</f>
        <v>0</v>
      </c>
      <c r="I63" s="130">
        <f>J63-H63</f>
        <v>0</v>
      </c>
      <c r="J63" s="130">
        <f>F63*G63</f>
        <v>0</v>
      </c>
      <c r="K63" s="130">
        <v>2.16</v>
      </c>
      <c r="L63" s="130">
        <f>F63*K63</f>
        <v>7.884</v>
      </c>
      <c r="M63" s="131" t="s">
        <v>803</v>
      </c>
      <c r="P63" s="19">
        <f>IF(AG63="5",J63,0)</f>
        <v>0</v>
      </c>
      <c r="R63" s="19">
        <f>IF(AG63="1",H63,0)</f>
        <v>0</v>
      </c>
      <c r="S63" s="19">
        <f>IF(AG63="1",I63,0)</f>
        <v>0</v>
      </c>
      <c r="T63" s="19">
        <f>IF(AG63="7",H63,0)</f>
        <v>0</v>
      </c>
      <c r="U63" s="19">
        <f>IF(AG63="7",I63,0)</f>
        <v>0</v>
      </c>
      <c r="V63" s="19">
        <f>IF(AG63="2",H63,0)</f>
        <v>0</v>
      </c>
      <c r="W63" s="19">
        <f>IF(AG63="2",I63,0)</f>
        <v>0</v>
      </c>
      <c r="X63" s="19">
        <f>IF(AG63="0",J63,0)</f>
        <v>0</v>
      </c>
      <c r="Y63" s="13" t="s">
        <v>197</v>
      </c>
      <c r="Z63" s="10">
        <f>IF(AD63=0,J63,0)</f>
        <v>0</v>
      </c>
      <c r="AA63" s="10">
        <f>IF(AD63=15,J63,0)</f>
        <v>0</v>
      </c>
      <c r="AB63" s="10">
        <f>IF(AD63=21,J63,0)</f>
        <v>0</v>
      </c>
      <c r="AD63" s="19">
        <v>21</v>
      </c>
      <c r="AE63" s="19">
        <f>G63*0.663636363636364</f>
        <v>0</v>
      </c>
      <c r="AF63" s="19">
        <f>G63*(1-0.663636363636364)</f>
        <v>0</v>
      </c>
      <c r="AG63" s="15" t="s">
        <v>7</v>
      </c>
      <c r="AM63" s="19">
        <f>F63*AE63</f>
        <v>0</v>
      </c>
      <c r="AN63" s="19">
        <f>F63*AF63</f>
        <v>0</v>
      </c>
      <c r="AO63" s="20" t="s">
        <v>819</v>
      </c>
      <c r="AP63" s="20" t="s">
        <v>848</v>
      </c>
      <c r="AQ63" s="13" t="s">
        <v>859</v>
      </c>
      <c r="AS63" s="19">
        <f>AM63+AN63</f>
        <v>0</v>
      </c>
      <c r="AT63" s="19">
        <f>G63/(100-AU63)*100</f>
        <v>0</v>
      </c>
      <c r="AU63" s="19">
        <v>0</v>
      </c>
      <c r="AV63" s="19">
        <f>L63</f>
        <v>7.884</v>
      </c>
    </row>
    <row r="64" spans="1:13" ht="12.75">
      <c r="A64" s="132"/>
      <c r="B64" s="132"/>
      <c r="C64" s="132"/>
      <c r="D64" s="133" t="s">
        <v>460</v>
      </c>
      <c r="E64" s="132"/>
      <c r="F64" s="134">
        <v>3.29</v>
      </c>
      <c r="G64" s="132"/>
      <c r="H64" s="132"/>
      <c r="I64" s="132"/>
      <c r="J64" s="132"/>
      <c r="K64" s="132"/>
      <c r="L64" s="132"/>
      <c r="M64" s="132"/>
    </row>
    <row r="65" spans="1:13" ht="12.75">
      <c r="A65" s="132"/>
      <c r="B65" s="132"/>
      <c r="C65" s="132"/>
      <c r="D65" s="133" t="s">
        <v>461</v>
      </c>
      <c r="E65" s="132"/>
      <c r="F65" s="134">
        <v>0.36</v>
      </c>
      <c r="G65" s="132"/>
      <c r="H65" s="132"/>
      <c r="I65" s="132"/>
      <c r="J65" s="132"/>
      <c r="K65" s="132"/>
      <c r="L65" s="132"/>
      <c r="M65" s="132"/>
    </row>
    <row r="66" spans="1:37" ht="12.75">
      <c r="A66" s="125"/>
      <c r="B66" s="126" t="s">
        <v>197</v>
      </c>
      <c r="C66" s="126" t="s">
        <v>37</v>
      </c>
      <c r="D66" s="126" t="s">
        <v>462</v>
      </c>
      <c r="E66" s="125" t="s">
        <v>6</v>
      </c>
      <c r="F66" s="125" t="s">
        <v>6</v>
      </c>
      <c r="G66" s="125" t="s">
        <v>6</v>
      </c>
      <c r="H66" s="127">
        <f>SUM(H67:H87)</f>
        <v>0</v>
      </c>
      <c r="I66" s="127">
        <f>SUM(I67:I87)</f>
        <v>0</v>
      </c>
      <c r="J66" s="127">
        <f>H66+I66</f>
        <v>0</v>
      </c>
      <c r="K66" s="128"/>
      <c r="L66" s="127">
        <f>SUM(L67:L87)</f>
        <v>9.221439</v>
      </c>
      <c r="M66" s="128"/>
      <c r="Y66" s="13" t="s">
        <v>197</v>
      </c>
      <c r="AI66" s="22">
        <f>SUM(Z67:Z87)</f>
        <v>0</v>
      </c>
      <c r="AJ66" s="22">
        <f>SUM(AA67:AA87)</f>
        <v>0</v>
      </c>
      <c r="AK66" s="22">
        <f>SUM(AB67:AB87)</f>
        <v>0</v>
      </c>
    </row>
    <row r="67" spans="1:48" ht="12.75">
      <c r="A67" s="129" t="s">
        <v>31</v>
      </c>
      <c r="B67" s="129" t="s">
        <v>197</v>
      </c>
      <c r="C67" s="129" t="s">
        <v>223</v>
      </c>
      <c r="D67" s="129" t="s">
        <v>463</v>
      </c>
      <c r="E67" s="129" t="s">
        <v>776</v>
      </c>
      <c r="F67" s="130">
        <v>51.83</v>
      </c>
      <c r="G67" s="130">
        <v>0</v>
      </c>
      <c r="H67" s="130">
        <f>F67*AE67</f>
        <v>0</v>
      </c>
      <c r="I67" s="130">
        <f>J67-H67</f>
        <v>0</v>
      </c>
      <c r="J67" s="130">
        <f>F67*G67</f>
        <v>0</v>
      </c>
      <c r="K67" s="130">
        <v>0.15967</v>
      </c>
      <c r="L67" s="130">
        <f>F67*K67</f>
        <v>8.2756961</v>
      </c>
      <c r="M67" s="131" t="s">
        <v>803</v>
      </c>
      <c r="P67" s="19">
        <f>IF(AG67="5",J67,0)</f>
        <v>0</v>
      </c>
      <c r="R67" s="19">
        <f>IF(AG67="1",H67,0)</f>
        <v>0</v>
      </c>
      <c r="S67" s="19">
        <f>IF(AG67="1",I67,0)</f>
        <v>0</v>
      </c>
      <c r="T67" s="19">
        <f>IF(AG67="7",H67,0)</f>
        <v>0</v>
      </c>
      <c r="U67" s="19">
        <f>IF(AG67="7",I67,0)</f>
        <v>0</v>
      </c>
      <c r="V67" s="19">
        <f>IF(AG67="2",H67,0)</f>
        <v>0</v>
      </c>
      <c r="W67" s="19">
        <f>IF(AG67="2",I67,0)</f>
        <v>0</v>
      </c>
      <c r="X67" s="19">
        <f>IF(AG67="0",J67,0)</f>
        <v>0</v>
      </c>
      <c r="Y67" s="13" t="s">
        <v>197</v>
      </c>
      <c r="Z67" s="10">
        <f>IF(AD67=0,J67,0)</f>
        <v>0</v>
      </c>
      <c r="AA67" s="10">
        <f>IF(AD67=15,J67,0)</f>
        <v>0</v>
      </c>
      <c r="AB67" s="10">
        <f>IF(AD67=21,J67,0)</f>
        <v>0</v>
      </c>
      <c r="AD67" s="19">
        <v>21</v>
      </c>
      <c r="AE67" s="19">
        <f>G67*0.700136677892038</f>
        <v>0</v>
      </c>
      <c r="AF67" s="19">
        <f>G67*(1-0.700136677892038)</f>
        <v>0</v>
      </c>
      <c r="AG67" s="15" t="s">
        <v>7</v>
      </c>
      <c r="AM67" s="19">
        <f>F67*AE67</f>
        <v>0</v>
      </c>
      <c r="AN67" s="19">
        <f>F67*AF67</f>
        <v>0</v>
      </c>
      <c r="AO67" s="20" t="s">
        <v>820</v>
      </c>
      <c r="AP67" s="20" t="s">
        <v>849</v>
      </c>
      <c r="AQ67" s="13" t="s">
        <v>859</v>
      </c>
      <c r="AS67" s="19">
        <f>AM67+AN67</f>
        <v>0</v>
      </c>
      <c r="AT67" s="19">
        <f>G67/(100-AU67)*100</f>
        <v>0</v>
      </c>
      <c r="AU67" s="19">
        <v>0</v>
      </c>
      <c r="AV67" s="19">
        <f>L67</f>
        <v>8.2756961</v>
      </c>
    </row>
    <row r="68" spans="1:13" ht="12.75">
      <c r="A68" s="132"/>
      <c r="B68" s="132"/>
      <c r="C68" s="132"/>
      <c r="D68" s="133" t="s">
        <v>464</v>
      </c>
      <c r="E68" s="132"/>
      <c r="F68" s="134">
        <v>21.2</v>
      </c>
      <c r="G68" s="132"/>
      <c r="H68" s="132"/>
      <c r="I68" s="132"/>
      <c r="J68" s="132"/>
      <c r="K68" s="132"/>
      <c r="L68" s="132"/>
      <c r="M68" s="132"/>
    </row>
    <row r="69" spans="1:13" ht="12.75">
      <c r="A69" s="132"/>
      <c r="B69" s="132"/>
      <c r="C69" s="132"/>
      <c r="D69" s="133" t="s">
        <v>465</v>
      </c>
      <c r="E69" s="132"/>
      <c r="F69" s="134">
        <v>19.2</v>
      </c>
      <c r="G69" s="132"/>
      <c r="H69" s="132"/>
      <c r="I69" s="132"/>
      <c r="J69" s="132"/>
      <c r="K69" s="132"/>
      <c r="L69" s="132"/>
      <c r="M69" s="132"/>
    </row>
    <row r="70" spans="1:13" ht="12.75">
      <c r="A70" s="132"/>
      <c r="B70" s="132"/>
      <c r="C70" s="132"/>
      <c r="D70" s="133" t="s">
        <v>466</v>
      </c>
      <c r="E70" s="132"/>
      <c r="F70" s="134">
        <v>22.98</v>
      </c>
      <c r="G70" s="132"/>
      <c r="H70" s="132"/>
      <c r="I70" s="132"/>
      <c r="J70" s="132"/>
      <c r="K70" s="132"/>
      <c r="L70" s="132"/>
      <c r="M70" s="132"/>
    </row>
    <row r="71" spans="1:13" ht="12.75">
      <c r="A71" s="132"/>
      <c r="B71" s="132"/>
      <c r="C71" s="132"/>
      <c r="D71" s="133" t="s">
        <v>467</v>
      </c>
      <c r="E71" s="132"/>
      <c r="F71" s="134">
        <v>-3.13</v>
      </c>
      <c r="G71" s="132"/>
      <c r="H71" s="132"/>
      <c r="I71" s="132"/>
      <c r="J71" s="132"/>
      <c r="K71" s="132"/>
      <c r="L71" s="132"/>
      <c r="M71" s="132"/>
    </row>
    <row r="72" spans="1:13" ht="12.75">
      <c r="A72" s="132"/>
      <c r="B72" s="132"/>
      <c r="C72" s="132"/>
      <c r="D72" s="133" t="s">
        <v>468</v>
      </c>
      <c r="E72" s="132"/>
      <c r="F72" s="134">
        <v>-2.21</v>
      </c>
      <c r="G72" s="132"/>
      <c r="H72" s="132"/>
      <c r="I72" s="132"/>
      <c r="J72" s="132"/>
      <c r="K72" s="132"/>
      <c r="L72" s="132"/>
      <c r="M72" s="132"/>
    </row>
    <row r="73" spans="1:13" ht="12.75">
      <c r="A73" s="132"/>
      <c r="B73" s="132"/>
      <c r="C73" s="132"/>
      <c r="D73" s="133" t="s">
        <v>469</v>
      </c>
      <c r="E73" s="132"/>
      <c r="F73" s="134">
        <v>-1.85</v>
      </c>
      <c r="G73" s="132"/>
      <c r="H73" s="132"/>
      <c r="I73" s="132"/>
      <c r="J73" s="132"/>
      <c r="K73" s="132"/>
      <c r="L73" s="132"/>
      <c r="M73" s="132"/>
    </row>
    <row r="74" spans="1:13" ht="12.75">
      <c r="A74" s="132"/>
      <c r="B74" s="132"/>
      <c r="C74" s="132"/>
      <c r="D74" s="133" t="s">
        <v>470</v>
      </c>
      <c r="E74" s="132"/>
      <c r="F74" s="134">
        <v>-3.08</v>
      </c>
      <c r="G74" s="132"/>
      <c r="H74" s="132"/>
      <c r="I74" s="132"/>
      <c r="J74" s="132"/>
      <c r="K74" s="132"/>
      <c r="L74" s="132"/>
      <c r="M74" s="132"/>
    </row>
    <row r="75" spans="1:13" ht="12.75">
      <c r="A75" s="132"/>
      <c r="B75" s="132"/>
      <c r="C75" s="132"/>
      <c r="D75" s="133" t="s">
        <v>471</v>
      </c>
      <c r="E75" s="132"/>
      <c r="F75" s="134">
        <v>-1.28</v>
      </c>
      <c r="G75" s="132"/>
      <c r="H75" s="132"/>
      <c r="I75" s="132"/>
      <c r="J75" s="132"/>
      <c r="K75" s="132"/>
      <c r="L75" s="132"/>
      <c r="M75" s="132"/>
    </row>
    <row r="76" spans="1:48" ht="12.75">
      <c r="A76" s="129" t="s">
        <v>32</v>
      </c>
      <c r="B76" s="129" t="s">
        <v>197</v>
      </c>
      <c r="C76" s="129" t="s">
        <v>224</v>
      </c>
      <c r="D76" s="129" t="s">
        <v>472</v>
      </c>
      <c r="E76" s="129" t="s">
        <v>777</v>
      </c>
      <c r="F76" s="130">
        <v>5</v>
      </c>
      <c r="G76" s="130">
        <v>0</v>
      </c>
      <c r="H76" s="130">
        <f>F76*AE76</f>
        <v>0</v>
      </c>
      <c r="I76" s="130">
        <f>J76-H76</f>
        <v>0</v>
      </c>
      <c r="J76" s="130">
        <f>F76*G76</f>
        <v>0</v>
      </c>
      <c r="K76" s="130">
        <v>0.06935</v>
      </c>
      <c r="L76" s="130">
        <f>F76*K76</f>
        <v>0.34675</v>
      </c>
      <c r="M76" s="131" t="s">
        <v>803</v>
      </c>
      <c r="P76" s="19">
        <f>IF(AG76="5",J76,0)</f>
        <v>0</v>
      </c>
      <c r="R76" s="19">
        <f>IF(AG76="1",H76,0)</f>
        <v>0</v>
      </c>
      <c r="S76" s="19">
        <f>IF(AG76="1",I76,0)</f>
        <v>0</v>
      </c>
      <c r="T76" s="19">
        <f>IF(AG76="7",H76,0)</f>
        <v>0</v>
      </c>
      <c r="U76" s="19">
        <f>IF(AG76="7",I76,0)</f>
        <v>0</v>
      </c>
      <c r="V76" s="19">
        <f>IF(AG76="2",H76,0)</f>
        <v>0</v>
      </c>
      <c r="W76" s="19">
        <f>IF(AG76="2",I76,0)</f>
        <v>0</v>
      </c>
      <c r="X76" s="19">
        <f>IF(AG76="0",J76,0)</f>
        <v>0</v>
      </c>
      <c r="Y76" s="13" t="s">
        <v>197</v>
      </c>
      <c r="Z76" s="10">
        <f>IF(AD76=0,J76,0)</f>
        <v>0</v>
      </c>
      <c r="AA76" s="10">
        <f>IF(AD76=15,J76,0)</f>
        <v>0</v>
      </c>
      <c r="AB76" s="10">
        <f>IF(AD76=21,J76,0)</f>
        <v>0</v>
      </c>
      <c r="AD76" s="19">
        <v>21</v>
      </c>
      <c r="AE76" s="19">
        <f>G76*0.871170212765957</f>
        <v>0</v>
      </c>
      <c r="AF76" s="19">
        <f>G76*(1-0.871170212765957)</f>
        <v>0</v>
      </c>
      <c r="AG76" s="15" t="s">
        <v>7</v>
      </c>
      <c r="AM76" s="19">
        <f>F76*AE76</f>
        <v>0</v>
      </c>
      <c r="AN76" s="19">
        <f>F76*AF76</f>
        <v>0</v>
      </c>
      <c r="AO76" s="20" t="s">
        <v>820</v>
      </c>
      <c r="AP76" s="20" t="s">
        <v>849</v>
      </c>
      <c r="AQ76" s="13" t="s">
        <v>859</v>
      </c>
      <c r="AS76" s="19">
        <f>AM76+AN76</f>
        <v>0</v>
      </c>
      <c r="AT76" s="19">
        <f>G76/(100-AU76)*100</f>
        <v>0</v>
      </c>
      <c r="AU76" s="19">
        <v>0</v>
      </c>
      <c r="AV76" s="19">
        <f>L76</f>
        <v>0.34675</v>
      </c>
    </row>
    <row r="77" spans="1:48" ht="12.75">
      <c r="A77" s="129" t="s">
        <v>33</v>
      </c>
      <c r="B77" s="129" t="s">
        <v>197</v>
      </c>
      <c r="C77" s="129" t="s">
        <v>225</v>
      </c>
      <c r="D77" s="129" t="s">
        <v>473</v>
      </c>
      <c r="E77" s="129" t="s">
        <v>777</v>
      </c>
      <c r="F77" s="130">
        <v>1</v>
      </c>
      <c r="G77" s="130">
        <v>0</v>
      </c>
      <c r="H77" s="130">
        <f>F77*AE77</f>
        <v>0</v>
      </c>
      <c r="I77" s="130">
        <f>J77-H77</f>
        <v>0</v>
      </c>
      <c r="J77" s="130">
        <f>F77*G77</f>
        <v>0</v>
      </c>
      <c r="K77" s="130">
        <v>0.10571</v>
      </c>
      <c r="L77" s="130">
        <f>F77*K77</f>
        <v>0.10571</v>
      </c>
      <c r="M77" s="131" t="s">
        <v>803</v>
      </c>
      <c r="P77" s="19">
        <f>IF(AG77="5",J77,0)</f>
        <v>0</v>
      </c>
      <c r="R77" s="19">
        <f>IF(AG77="1",H77,0)</f>
        <v>0</v>
      </c>
      <c r="S77" s="19">
        <f>IF(AG77="1",I77,0)</f>
        <v>0</v>
      </c>
      <c r="T77" s="19">
        <f>IF(AG77="7",H77,0)</f>
        <v>0</v>
      </c>
      <c r="U77" s="19">
        <f>IF(AG77="7",I77,0)</f>
        <v>0</v>
      </c>
      <c r="V77" s="19">
        <f>IF(AG77="2",H77,0)</f>
        <v>0</v>
      </c>
      <c r="W77" s="19">
        <f>IF(AG77="2",I77,0)</f>
        <v>0</v>
      </c>
      <c r="X77" s="19">
        <f>IF(AG77="0",J77,0)</f>
        <v>0</v>
      </c>
      <c r="Y77" s="13" t="s">
        <v>197</v>
      </c>
      <c r="Z77" s="10">
        <f>IF(AD77=0,J77,0)</f>
        <v>0</v>
      </c>
      <c r="AA77" s="10">
        <f>IF(AD77=15,J77,0)</f>
        <v>0</v>
      </c>
      <c r="AB77" s="10">
        <f>IF(AD77=21,J77,0)</f>
        <v>0</v>
      </c>
      <c r="AD77" s="19">
        <v>21</v>
      </c>
      <c r="AE77" s="19">
        <f>G77*0.892814207650273</f>
        <v>0</v>
      </c>
      <c r="AF77" s="19">
        <f>G77*(1-0.892814207650273)</f>
        <v>0</v>
      </c>
      <c r="AG77" s="15" t="s">
        <v>7</v>
      </c>
      <c r="AM77" s="19">
        <f>F77*AE77</f>
        <v>0</v>
      </c>
      <c r="AN77" s="19">
        <f>F77*AF77</f>
        <v>0</v>
      </c>
      <c r="AO77" s="20" t="s">
        <v>820</v>
      </c>
      <c r="AP77" s="20" t="s">
        <v>849</v>
      </c>
      <c r="AQ77" s="13" t="s">
        <v>859</v>
      </c>
      <c r="AS77" s="19">
        <f>AM77+AN77</f>
        <v>0</v>
      </c>
      <c r="AT77" s="19">
        <f>G77/(100-AU77)*100</f>
        <v>0</v>
      </c>
      <c r="AU77" s="19">
        <v>0</v>
      </c>
      <c r="AV77" s="19">
        <f>L77</f>
        <v>0.10571</v>
      </c>
    </row>
    <row r="78" spans="1:48" ht="12.75">
      <c r="A78" s="129" t="s">
        <v>34</v>
      </c>
      <c r="B78" s="129" t="s">
        <v>197</v>
      </c>
      <c r="C78" s="129" t="s">
        <v>226</v>
      </c>
      <c r="D78" s="129" t="s">
        <v>474</v>
      </c>
      <c r="E78" s="129" t="s">
        <v>775</v>
      </c>
      <c r="F78" s="130">
        <v>0.17</v>
      </c>
      <c r="G78" s="130">
        <v>0</v>
      </c>
      <c r="H78" s="130">
        <f>F78*AE78</f>
        <v>0</v>
      </c>
      <c r="I78" s="130">
        <f>J78-H78</f>
        <v>0</v>
      </c>
      <c r="J78" s="130">
        <f>F78*G78</f>
        <v>0</v>
      </c>
      <c r="K78" s="130">
        <v>2.52501</v>
      </c>
      <c r="L78" s="130">
        <f>F78*K78</f>
        <v>0.4292517</v>
      </c>
      <c r="M78" s="131" t="s">
        <v>803</v>
      </c>
      <c r="P78" s="19">
        <f>IF(AG78="5",J78,0)</f>
        <v>0</v>
      </c>
      <c r="R78" s="19">
        <f>IF(AG78="1",H78,0)</f>
        <v>0</v>
      </c>
      <c r="S78" s="19">
        <f>IF(AG78="1",I78,0)</f>
        <v>0</v>
      </c>
      <c r="T78" s="19">
        <f>IF(AG78="7",H78,0)</f>
        <v>0</v>
      </c>
      <c r="U78" s="19">
        <f>IF(AG78="7",I78,0)</f>
        <v>0</v>
      </c>
      <c r="V78" s="19">
        <f>IF(AG78="2",H78,0)</f>
        <v>0</v>
      </c>
      <c r="W78" s="19">
        <f>IF(AG78="2",I78,0)</f>
        <v>0</v>
      </c>
      <c r="X78" s="19">
        <f>IF(AG78="0",J78,0)</f>
        <v>0</v>
      </c>
      <c r="Y78" s="13" t="s">
        <v>197</v>
      </c>
      <c r="Z78" s="10">
        <f>IF(AD78=0,J78,0)</f>
        <v>0</v>
      </c>
      <c r="AA78" s="10">
        <f>IF(AD78=15,J78,0)</f>
        <v>0</v>
      </c>
      <c r="AB78" s="10">
        <f>IF(AD78=21,J78,0)</f>
        <v>0</v>
      </c>
      <c r="AD78" s="19">
        <v>21</v>
      </c>
      <c r="AE78" s="19">
        <f>G78*0.789846428571429</f>
        <v>0</v>
      </c>
      <c r="AF78" s="19">
        <f>G78*(1-0.789846428571429)</f>
        <v>0</v>
      </c>
      <c r="AG78" s="15" t="s">
        <v>7</v>
      </c>
      <c r="AM78" s="19">
        <f>F78*AE78</f>
        <v>0</v>
      </c>
      <c r="AN78" s="19">
        <f>F78*AF78</f>
        <v>0</v>
      </c>
      <c r="AO78" s="20" t="s">
        <v>820</v>
      </c>
      <c r="AP78" s="20" t="s">
        <v>849</v>
      </c>
      <c r="AQ78" s="13" t="s">
        <v>859</v>
      </c>
      <c r="AS78" s="19">
        <f>AM78+AN78</f>
        <v>0</v>
      </c>
      <c r="AT78" s="19">
        <f>G78/(100-AU78)*100</f>
        <v>0</v>
      </c>
      <c r="AU78" s="19">
        <v>0</v>
      </c>
      <c r="AV78" s="19">
        <f>L78</f>
        <v>0.4292517</v>
      </c>
    </row>
    <row r="79" spans="1:13" ht="12.75">
      <c r="A79" s="132"/>
      <c r="B79" s="132"/>
      <c r="C79" s="132"/>
      <c r="D79" s="133" t="s">
        <v>475</v>
      </c>
      <c r="E79" s="132"/>
      <c r="F79" s="134">
        <v>0.11</v>
      </c>
      <c r="G79" s="132"/>
      <c r="H79" s="132"/>
      <c r="I79" s="132"/>
      <c r="J79" s="132"/>
      <c r="K79" s="132"/>
      <c r="L79" s="132"/>
      <c r="M79" s="132"/>
    </row>
    <row r="80" spans="1:13" ht="12.75">
      <c r="A80" s="132"/>
      <c r="B80" s="132"/>
      <c r="C80" s="132"/>
      <c r="D80" s="133" t="s">
        <v>476</v>
      </c>
      <c r="E80" s="132"/>
      <c r="F80" s="134">
        <v>0.06</v>
      </c>
      <c r="G80" s="132"/>
      <c r="H80" s="132"/>
      <c r="I80" s="132"/>
      <c r="J80" s="132"/>
      <c r="K80" s="132"/>
      <c r="L80" s="132"/>
      <c r="M80" s="132"/>
    </row>
    <row r="81" spans="1:48" ht="12.75">
      <c r="A81" s="129" t="s">
        <v>35</v>
      </c>
      <c r="B81" s="129" t="s">
        <v>197</v>
      </c>
      <c r="C81" s="129" t="s">
        <v>227</v>
      </c>
      <c r="D81" s="129" t="s">
        <v>477</v>
      </c>
      <c r="E81" s="129" t="s">
        <v>776</v>
      </c>
      <c r="F81" s="130">
        <v>2.66</v>
      </c>
      <c r="G81" s="130">
        <v>0</v>
      </c>
      <c r="H81" s="130">
        <f>F81*AE81</f>
        <v>0</v>
      </c>
      <c r="I81" s="130">
        <f>J81-H81</f>
        <v>0</v>
      </c>
      <c r="J81" s="130">
        <f>F81*G81</f>
        <v>0</v>
      </c>
      <c r="K81" s="130">
        <v>0.00884</v>
      </c>
      <c r="L81" s="130">
        <f>F81*K81</f>
        <v>0.0235144</v>
      </c>
      <c r="M81" s="131" t="s">
        <v>803</v>
      </c>
      <c r="P81" s="19">
        <f>IF(AG81="5",J81,0)</f>
        <v>0</v>
      </c>
      <c r="R81" s="19">
        <f>IF(AG81="1",H81,0)</f>
        <v>0</v>
      </c>
      <c r="S81" s="19">
        <f>IF(AG81="1",I81,0)</f>
        <v>0</v>
      </c>
      <c r="T81" s="19">
        <f>IF(AG81="7",H81,0)</f>
        <v>0</v>
      </c>
      <c r="U81" s="19">
        <f>IF(AG81="7",I81,0)</f>
        <v>0</v>
      </c>
      <c r="V81" s="19">
        <f>IF(AG81="2",H81,0)</f>
        <v>0</v>
      </c>
      <c r="W81" s="19">
        <f>IF(AG81="2",I81,0)</f>
        <v>0</v>
      </c>
      <c r="X81" s="19">
        <f>IF(AG81="0",J81,0)</f>
        <v>0</v>
      </c>
      <c r="Y81" s="13" t="s">
        <v>197</v>
      </c>
      <c r="Z81" s="10">
        <f>IF(AD81=0,J81,0)</f>
        <v>0</v>
      </c>
      <c r="AA81" s="10">
        <f>IF(AD81=15,J81,0)</f>
        <v>0</v>
      </c>
      <c r="AB81" s="10">
        <f>IF(AD81=21,J81,0)</f>
        <v>0</v>
      </c>
      <c r="AD81" s="19">
        <v>21</v>
      </c>
      <c r="AE81" s="19">
        <f>G81*0.211526952141058</f>
        <v>0</v>
      </c>
      <c r="AF81" s="19">
        <f>G81*(1-0.211526952141058)</f>
        <v>0</v>
      </c>
      <c r="AG81" s="15" t="s">
        <v>7</v>
      </c>
      <c r="AM81" s="19">
        <f>F81*AE81</f>
        <v>0</v>
      </c>
      <c r="AN81" s="19">
        <f>F81*AF81</f>
        <v>0</v>
      </c>
      <c r="AO81" s="20" t="s">
        <v>820</v>
      </c>
      <c r="AP81" s="20" t="s">
        <v>849</v>
      </c>
      <c r="AQ81" s="13" t="s">
        <v>859</v>
      </c>
      <c r="AS81" s="19">
        <f>AM81+AN81</f>
        <v>0</v>
      </c>
      <c r="AT81" s="19">
        <f>G81/(100-AU81)*100</f>
        <v>0</v>
      </c>
      <c r="AU81" s="19">
        <v>0</v>
      </c>
      <c r="AV81" s="19">
        <f>L81</f>
        <v>0.0235144</v>
      </c>
    </row>
    <row r="82" spans="1:13" ht="12.75">
      <c r="A82" s="132"/>
      <c r="B82" s="132"/>
      <c r="C82" s="132"/>
      <c r="D82" s="133" t="s">
        <v>478</v>
      </c>
      <c r="E82" s="132"/>
      <c r="F82" s="134">
        <v>1.2</v>
      </c>
      <c r="G82" s="132"/>
      <c r="H82" s="132"/>
      <c r="I82" s="132"/>
      <c r="J82" s="132"/>
      <c r="K82" s="132"/>
      <c r="L82" s="132"/>
      <c r="M82" s="132"/>
    </row>
    <row r="83" spans="1:13" ht="12.75">
      <c r="A83" s="132"/>
      <c r="B83" s="132"/>
      <c r="C83" s="132"/>
      <c r="D83" s="133" t="s">
        <v>479</v>
      </c>
      <c r="E83" s="132"/>
      <c r="F83" s="134">
        <v>0.63</v>
      </c>
      <c r="G83" s="132"/>
      <c r="H83" s="132"/>
      <c r="I83" s="132"/>
      <c r="J83" s="132"/>
      <c r="K83" s="132"/>
      <c r="L83" s="132"/>
      <c r="M83" s="132"/>
    </row>
    <row r="84" spans="1:13" ht="12.75">
      <c r="A84" s="132"/>
      <c r="B84" s="132"/>
      <c r="C84" s="132"/>
      <c r="D84" s="133" t="s">
        <v>480</v>
      </c>
      <c r="E84" s="132"/>
      <c r="F84" s="134">
        <v>0.6</v>
      </c>
      <c r="G84" s="132"/>
      <c r="H84" s="132"/>
      <c r="I84" s="132"/>
      <c r="J84" s="132"/>
      <c r="K84" s="132"/>
      <c r="L84" s="132"/>
      <c r="M84" s="132"/>
    </row>
    <row r="85" spans="1:13" ht="12.75">
      <c r="A85" s="132"/>
      <c r="B85" s="132"/>
      <c r="C85" s="132"/>
      <c r="D85" s="133" t="s">
        <v>481</v>
      </c>
      <c r="E85" s="132"/>
      <c r="F85" s="134">
        <v>0.23</v>
      </c>
      <c r="G85" s="132"/>
      <c r="H85" s="132"/>
      <c r="I85" s="132"/>
      <c r="J85" s="132"/>
      <c r="K85" s="132"/>
      <c r="L85" s="132"/>
      <c r="M85" s="132"/>
    </row>
    <row r="86" spans="1:48" ht="12.75">
      <c r="A86" s="129" t="s">
        <v>36</v>
      </c>
      <c r="B86" s="129" t="s">
        <v>197</v>
      </c>
      <c r="C86" s="129" t="s">
        <v>228</v>
      </c>
      <c r="D86" s="129" t="s">
        <v>482</v>
      </c>
      <c r="E86" s="129" t="s">
        <v>776</v>
      </c>
      <c r="F86" s="130">
        <v>2.66</v>
      </c>
      <c r="G86" s="130">
        <v>0</v>
      </c>
      <c r="H86" s="130">
        <f>F86*AE86</f>
        <v>0</v>
      </c>
      <c r="I86" s="130">
        <f>J86-H86</f>
        <v>0</v>
      </c>
      <c r="J86" s="130">
        <f>F86*G86</f>
        <v>0</v>
      </c>
      <c r="K86" s="130">
        <v>0</v>
      </c>
      <c r="L86" s="130">
        <f>F86*K86</f>
        <v>0</v>
      </c>
      <c r="M86" s="131" t="s">
        <v>803</v>
      </c>
      <c r="P86" s="19">
        <f>IF(AG86="5",J86,0)</f>
        <v>0</v>
      </c>
      <c r="R86" s="19">
        <f>IF(AG86="1",H86,0)</f>
        <v>0</v>
      </c>
      <c r="S86" s="19">
        <f>IF(AG86="1",I86,0)</f>
        <v>0</v>
      </c>
      <c r="T86" s="19">
        <f>IF(AG86="7",H86,0)</f>
        <v>0</v>
      </c>
      <c r="U86" s="19">
        <f>IF(AG86="7",I86,0)</f>
        <v>0</v>
      </c>
      <c r="V86" s="19">
        <f>IF(AG86="2",H86,0)</f>
        <v>0</v>
      </c>
      <c r="W86" s="19">
        <f>IF(AG86="2",I86,0)</f>
        <v>0</v>
      </c>
      <c r="X86" s="19">
        <f>IF(AG86="0",J86,0)</f>
        <v>0</v>
      </c>
      <c r="Y86" s="13" t="s">
        <v>197</v>
      </c>
      <c r="Z86" s="10">
        <f>IF(AD86=0,J86,0)</f>
        <v>0</v>
      </c>
      <c r="AA86" s="10">
        <f>IF(AD86=15,J86,0)</f>
        <v>0</v>
      </c>
      <c r="AB86" s="10">
        <f>IF(AD86=21,J86,0)</f>
        <v>0</v>
      </c>
      <c r="AD86" s="19">
        <v>21</v>
      </c>
      <c r="AE86" s="19">
        <f>G86*0</f>
        <v>0</v>
      </c>
      <c r="AF86" s="19">
        <f>G86*(1-0)</f>
        <v>0</v>
      </c>
      <c r="AG86" s="15" t="s">
        <v>7</v>
      </c>
      <c r="AM86" s="19">
        <f>F86*AE86</f>
        <v>0</v>
      </c>
      <c r="AN86" s="19">
        <f>F86*AF86</f>
        <v>0</v>
      </c>
      <c r="AO86" s="20" t="s">
        <v>820</v>
      </c>
      <c r="AP86" s="20" t="s">
        <v>849</v>
      </c>
      <c r="AQ86" s="13" t="s">
        <v>859</v>
      </c>
      <c r="AS86" s="19">
        <f>AM86+AN86</f>
        <v>0</v>
      </c>
      <c r="AT86" s="19">
        <f>G86/(100-AU86)*100</f>
        <v>0</v>
      </c>
      <c r="AU86" s="19">
        <v>0</v>
      </c>
      <c r="AV86" s="19">
        <f>L86</f>
        <v>0</v>
      </c>
    </row>
    <row r="87" spans="1:48" ht="12.75">
      <c r="A87" s="129" t="s">
        <v>37</v>
      </c>
      <c r="B87" s="129" t="s">
        <v>197</v>
      </c>
      <c r="C87" s="129" t="s">
        <v>229</v>
      </c>
      <c r="D87" s="129" t="s">
        <v>483</v>
      </c>
      <c r="E87" s="129" t="s">
        <v>778</v>
      </c>
      <c r="F87" s="130">
        <v>0.04</v>
      </c>
      <c r="G87" s="130">
        <v>0</v>
      </c>
      <c r="H87" s="130">
        <f>F87*AE87</f>
        <v>0</v>
      </c>
      <c r="I87" s="130">
        <f>J87-H87</f>
        <v>0</v>
      </c>
      <c r="J87" s="130">
        <f>F87*G87</f>
        <v>0</v>
      </c>
      <c r="K87" s="130">
        <v>1.01292</v>
      </c>
      <c r="L87" s="130">
        <f>F87*K87</f>
        <v>0.040516800000000006</v>
      </c>
      <c r="M87" s="131" t="s">
        <v>803</v>
      </c>
      <c r="P87" s="19">
        <f>IF(AG87="5",J87,0)</f>
        <v>0</v>
      </c>
      <c r="R87" s="19">
        <f>IF(AG87="1",H87,0)</f>
        <v>0</v>
      </c>
      <c r="S87" s="19">
        <f>IF(AG87="1",I87,0)</f>
        <v>0</v>
      </c>
      <c r="T87" s="19">
        <f>IF(AG87="7",H87,0)</f>
        <v>0</v>
      </c>
      <c r="U87" s="19">
        <f>IF(AG87="7",I87,0)</f>
        <v>0</v>
      </c>
      <c r="V87" s="19">
        <f>IF(AG87="2",H87,0)</f>
        <v>0</v>
      </c>
      <c r="W87" s="19">
        <f>IF(AG87="2",I87,0)</f>
        <v>0</v>
      </c>
      <c r="X87" s="19">
        <f>IF(AG87="0",J87,0)</f>
        <v>0</v>
      </c>
      <c r="Y87" s="13" t="s">
        <v>197</v>
      </c>
      <c r="Z87" s="10">
        <f>IF(AD87=0,J87,0)</f>
        <v>0</v>
      </c>
      <c r="AA87" s="10">
        <f>IF(AD87=15,J87,0)</f>
        <v>0</v>
      </c>
      <c r="AB87" s="10">
        <f>IF(AD87=21,J87,0)</f>
        <v>0</v>
      </c>
      <c r="AD87" s="19">
        <v>21</v>
      </c>
      <c r="AE87" s="19">
        <f>G87*0.635913272010513</f>
        <v>0</v>
      </c>
      <c r="AF87" s="19">
        <f>G87*(1-0.635913272010513)</f>
        <v>0</v>
      </c>
      <c r="AG87" s="15" t="s">
        <v>7</v>
      </c>
      <c r="AM87" s="19">
        <f>F87*AE87</f>
        <v>0</v>
      </c>
      <c r="AN87" s="19">
        <f>F87*AF87</f>
        <v>0</v>
      </c>
      <c r="AO87" s="20" t="s">
        <v>820</v>
      </c>
      <c r="AP87" s="20" t="s">
        <v>849</v>
      </c>
      <c r="AQ87" s="13" t="s">
        <v>859</v>
      </c>
      <c r="AS87" s="19">
        <f>AM87+AN87</f>
        <v>0</v>
      </c>
      <c r="AT87" s="19">
        <f>G87/(100-AU87)*100</f>
        <v>0</v>
      </c>
      <c r="AU87" s="19">
        <v>0</v>
      </c>
      <c r="AV87" s="19">
        <f>L87</f>
        <v>0.040516800000000006</v>
      </c>
    </row>
    <row r="88" spans="1:37" ht="12.75">
      <c r="A88" s="125"/>
      <c r="B88" s="126" t="s">
        <v>197</v>
      </c>
      <c r="C88" s="126" t="s">
        <v>40</v>
      </c>
      <c r="D88" s="126" t="s">
        <v>484</v>
      </c>
      <c r="E88" s="125" t="s">
        <v>6</v>
      </c>
      <c r="F88" s="125" t="s">
        <v>6</v>
      </c>
      <c r="G88" s="125" t="s">
        <v>6</v>
      </c>
      <c r="H88" s="127">
        <f>SUM(H89:H94)</f>
        <v>0</v>
      </c>
      <c r="I88" s="127">
        <f>SUM(I89:I94)</f>
        <v>0</v>
      </c>
      <c r="J88" s="127">
        <f>H88+I88</f>
        <v>0</v>
      </c>
      <c r="K88" s="128"/>
      <c r="L88" s="127">
        <f>SUM(L89:L94)</f>
        <v>3.2131020000000006</v>
      </c>
      <c r="M88" s="128"/>
      <c r="Y88" s="13" t="s">
        <v>197</v>
      </c>
      <c r="AI88" s="22">
        <f>SUM(Z89:Z94)</f>
        <v>0</v>
      </c>
      <c r="AJ88" s="22">
        <f>SUM(AA89:AA94)</f>
        <v>0</v>
      </c>
      <c r="AK88" s="22">
        <f>SUM(AB89:AB94)</f>
        <v>0</v>
      </c>
    </row>
    <row r="89" spans="1:48" ht="12.75">
      <c r="A89" s="129" t="s">
        <v>38</v>
      </c>
      <c r="B89" s="129" t="s">
        <v>197</v>
      </c>
      <c r="C89" s="129" t="s">
        <v>230</v>
      </c>
      <c r="D89" s="129" t="s">
        <v>485</v>
      </c>
      <c r="E89" s="129" t="s">
        <v>776</v>
      </c>
      <c r="F89" s="130">
        <v>35.02</v>
      </c>
      <c r="G89" s="130">
        <v>0</v>
      </c>
      <c r="H89" s="130">
        <f>F89*AE89</f>
        <v>0</v>
      </c>
      <c r="I89" s="130">
        <f>J89-H89</f>
        <v>0</v>
      </c>
      <c r="J89" s="130">
        <f>F89*G89</f>
        <v>0</v>
      </c>
      <c r="K89" s="130">
        <v>0.09135</v>
      </c>
      <c r="L89" s="130">
        <f>F89*K89</f>
        <v>3.1990770000000004</v>
      </c>
      <c r="M89" s="131" t="s">
        <v>803</v>
      </c>
      <c r="P89" s="19">
        <f>IF(AG89="5",J89,0)</f>
        <v>0</v>
      </c>
      <c r="R89" s="19">
        <f>IF(AG89="1",H89,0)</f>
        <v>0</v>
      </c>
      <c r="S89" s="19">
        <f>IF(AG89="1",I89,0)</f>
        <v>0</v>
      </c>
      <c r="T89" s="19">
        <f>IF(AG89="7",H89,0)</f>
        <v>0</v>
      </c>
      <c r="U89" s="19">
        <f>IF(AG89="7",I89,0)</f>
        <v>0</v>
      </c>
      <c r="V89" s="19">
        <f>IF(AG89="2",H89,0)</f>
        <v>0</v>
      </c>
      <c r="W89" s="19">
        <f>IF(AG89="2",I89,0)</f>
        <v>0</v>
      </c>
      <c r="X89" s="19">
        <f>IF(AG89="0",J89,0)</f>
        <v>0</v>
      </c>
      <c r="Y89" s="13" t="s">
        <v>197</v>
      </c>
      <c r="Z89" s="10">
        <f>IF(AD89=0,J89,0)</f>
        <v>0</v>
      </c>
      <c r="AA89" s="10">
        <f>IF(AD89=15,J89,0)</f>
        <v>0</v>
      </c>
      <c r="AB89" s="10">
        <f>IF(AD89=21,J89,0)</f>
        <v>0</v>
      </c>
      <c r="AD89" s="19">
        <v>21</v>
      </c>
      <c r="AE89" s="19">
        <f>G89*0.57059276796413</f>
        <v>0</v>
      </c>
      <c r="AF89" s="19">
        <f>G89*(1-0.57059276796413)</f>
        <v>0</v>
      </c>
      <c r="AG89" s="15" t="s">
        <v>7</v>
      </c>
      <c r="AM89" s="19">
        <f>F89*AE89</f>
        <v>0</v>
      </c>
      <c r="AN89" s="19">
        <f>F89*AF89</f>
        <v>0</v>
      </c>
      <c r="AO89" s="20" t="s">
        <v>821</v>
      </c>
      <c r="AP89" s="20" t="s">
        <v>849</v>
      </c>
      <c r="AQ89" s="13" t="s">
        <v>859</v>
      </c>
      <c r="AS89" s="19">
        <f>AM89+AN89</f>
        <v>0</v>
      </c>
      <c r="AT89" s="19">
        <f>G89/(100-AU89)*100</f>
        <v>0</v>
      </c>
      <c r="AU89" s="19">
        <v>0</v>
      </c>
      <c r="AV89" s="19">
        <f>L89</f>
        <v>3.1990770000000004</v>
      </c>
    </row>
    <row r="90" spans="1:13" ht="12.75">
      <c r="A90" s="132"/>
      <c r="B90" s="132"/>
      <c r="C90" s="132"/>
      <c r="D90" s="133" t="s">
        <v>486</v>
      </c>
      <c r="E90" s="132"/>
      <c r="F90" s="134">
        <v>20.63</v>
      </c>
      <c r="G90" s="132"/>
      <c r="H90" s="132"/>
      <c r="I90" s="132"/>
      <c r="J90" s="132"/>
      <c r="K90" s="132"/>
      <c r="L90" s="132"/>
      <c r="M90" s="132"/>
    </row>
    <row r="91" spans="1:13" ht="12.75">
      <c r="A91" s="132"/>
      <c r="B91" s="132"/>
      <c r="C91" s="132"/>
      <c r="D91" s="133" t="s">
        <v>487</v>
      </c>
      <c r="E91" s="132"/>
      <c r="F91" s="134">
        <v>-2.8</v>
      </c>
      <c r="G91" s="132"/>
      <c r="H91" s="132"/>
      <c r="I91" s="132"/>
      <c r="J91" s="132"/>
      <c r="K91" s="132"/>
      <c r="L91" s="132"/>
      <c r="M91" s="132"/>
    </row>
    <row r="92" spans="1:13" ht="12.75">
      <c r="A92" s="132"/>
      <c r="B92" s="132"/>
      <c r="C92" s="132"/>
      <c r="D92" s="133" t="s">
        <v>488</v>
      </c>
      <c r="E92" s="132"/>
      <c r="F92" s="134">
        <v>9.9</v>
      </c>
      <c r="G92" s="132"/>
      <c r="H92" s="132"/>
      <c r="I92" s="132"/>
      <c r="J92" s="132"/>
      <c r="K92" s="132"/>
      <c r="L92" s="132"/>
      <c r="M92" s="132"/>
    </row>
    <row r="93" spans="1:13" ht="12.75">
      <c r="A93" s="132"/>
      <c r="B93" s="132"/>
      <c r="C93" s="132"/>
      <c r="D93" s="133" t="s">
        <v>489</v>
      </c>
      <c r="E93" s="132"/>
      <c r="F93" s="134">
        <v>7.29</v>
      </c>
      <c r="G93" s="132"/>
      <c r="H93" s="132"/>
      <c r="I93" s="132"/>
      <c r="J93" s="132"/>
      <c r="K93" s="132"/>
      <c r="L93" s="132"/>
      <c r="M93" s="132"/>
    </row>
    <row r="94" spans="1:48" ht="12.75">
      <c r="A94" s="129" t="s">
        <v>39</v>
      </c>
      <c r="B94" s="129" t="s">
        <v>197</v>
      </c>
      <c r="C94" s="129" t="s">
        <v>231</v>
      </c>
      <c r="D94" s="129" t="s">
        <v>490</v>
      </c>
      <c r="E94" s="129" t="s">
        <v>779</v>
      </c>
      <c r="F94" s="130">
        <v>13.75</v>
      </c>
      <c r="G94" s="130">
        <v>0</v>
      </c>
      <c r="H94" s="130">
        <f>F94*AE94</f>
        <v>0</v>
      </c>
      <c r="I94" s="130">
        <f>J94-H94</f>
        <v>0</v>
      </c>
      <c r="J94" s="130">
        <f>F94*G94</f>
        <v>0</v>
      </c>
      <c r="K94" s="130">
        <v>0.00102</v>
      </c>
      <c r="L94" s="130">
        <f>F94*K94</f>
        <v>0.014025000000000001</v>
      </c>
      <c r="M94" s="131" t="s">
        <v>803</v>
      </c>
      <c r="P94" s="19">
        <f>IF(AG94="5",J94,0)</f>
        <v>0</v>
      </c>
      <c r="R94" s="19">
        <f>IF(AG94="1",H94,0)</f>
        <v>0</v>
      </c>
      <c r="S94" s="19">
        <f>IF(AG94="1",I94,0)</f>
        <v>0</v>
      </c>
      <c r="T94" s="19">
        <f>IF(AG94="7",H94,0)</f>
        <v>0</v>
      </c>
      <c r="U94" s="19">
        <f>IF(AG94="7",I94,0)</f>
        <v>0</v>
      </c>
      <c r="V94" s="19">
        <f>IF(AG94="2",H94,0)</f>
        <v>0</v>
      </c>
      <c r="W94" s="19">
        <f>IF(AG94="2",I94,0)</f>
        <v>0</v>
      </c>
      <c r="X94" s="19">
        <f>IF(AG94="0",J94,0)</f>
        <v>0</v>
      </c>
      <c r="Y94" s="13" t="s">
        <v>197</v>
      </c>
      <c r="Z94" s="10">
        <f>IF(AD94=0,J94,0)</f>
        <v>0</v>
      </c>
      <c r="AA94" s="10">
        <f>IF(AD94=15,J94,0)</f>
        <v>0</v>
      </c>
      <c r="AB94" s="10">
        <f>IF(AD94=21,J94,0)</f>
        <v>0</v>
      </c>
      <c r="AD94" s="19">
        <v>21</v>
      </c>
      <c r="AE94" s="19">
        <f>G94*0.192033039357641</f>
        <v>0</v>
      </c>
      <c r="AF94" s="19">
        <f>G94*(1-0.192033039357641)</f>
        <v>0</v>
      </c>
      <c r="AG94" s="15" t="s">
        <v>7</v>
      </c>
      <c r="AM94" s="19">
        <f>F94*AE94</f>
        <v>0</v>
      </c>
      <c r="AN94" s="19">
        <f>F94*AF94</f>
        <v>0</v>
      </c>
      <c r="AO94" s="20" t="s">
        <v>821</v>
      </c>
      <c r="AP94" s="20" t="s">
        <v>849</v>
      </c>
      <c r="AQ94" s="13" t="s">
        <v>859</v>
      </c>
      <c r="AS94" s="19">
        <f>AM94+AN94</f>
        <v>0</v>
      </c>
      <c r="AT94" s="19">
        <f>G94/(100-AU94)*100</f>
        <v>0</v>
      </c>
      <c r="AU94" s="19">
        <v>0</v>
      </c>
      <c r="AV94" s="19">
        <f>L94</f>
        <v>0.014025000000000001</v>
      </c>
    </row>
    <row r="95" spans="1:13" ht="12.75">
      <c r="A95" s="132"/>
      <c r="B95" s="132"/>
      <c r="C95" s="132"/>
      <c r="D95" s="133" t="s">
        <v>491</v>
      </c>
      <c r="E95" s="132"/>
      <c r="F95" s="134">
        <v>13.75</v>
      </c>
      <c r="G95" s="132"/>
      <c r="H95" s="132"/>
      <c r="I95" s="132"/>
      <c r="J95" s="132"/>
      <c r="K95" s="132"/>
      <c r="L95" s="132"/>
      <c r="M95" s="132"/>
    </row>
    <row r="96" spans="1:37" ht="12.75">
      <c r="A96" s="125"/>
      <c r="B96" s="126" t="s">
        <v>197</v>
      </c>
      <c r="C96" s="126" t="s">
        <v>47</v>
      </c>
      <c r="D96" s="126" t="s">
        <v>492</v>
      </c>
      <c r="E96" s="125" t="s">
        <v>6</v>
      </c>
      <c r="F96" s="125" t="s">
        <v>6</v>
      </c>
      <c r="G96" s="125" t="s">
        <v>6</v>
      </c>
      <c r="H96" s="127">
        <f>SUM(H97:H102)</f>
        <v>0</v>
      </c>
      <c r="I96" s="127">
        <f>SUM(I97:I102)</f>
        <v>0</v>
      </c>
      <c r="J96" s="127">
        <f>H96+I96</f>
        <v>0</v>
      </c>
      <c r="K96" s="128"/>
      <c r="L96" s="127">
        <f>SUM(L97:L102)</f>
        <v>3.6876011</v>
      </c>
      <c r="M96" s="128"/>
      <c r="Y96" s="13" t="s">
        <v>197</v>
      </c>
      <c r="AI96" s="22">
        <f>SUM(Z97:Z102)</f>
        <v>0</v>
      </c>
      <c r="AJ96" s="22">
        <f>SUM(AA97:AA102)</f>
        <v>0</v>
      </c>
      <c r="AK96" s="22">
        <f>SUM(AB97:AB102)</f>
        <v>0</v>
      </c>
    </row>
    <row r="97" spans="1:48" ht="12.75">
      <c r="A97" s="129" t="s">
        <v>40</v>
      </c>
      <c r="B97" s="129" t="s">
        <v>197</v>
      </c>
      <c r="C97" s="129" t="s">
        <v>232</v>
      </c>
      <c r="D97" s="129" t="s">
        <v>493</v>
      </c>
      <c r="E97" s="129" t="s">
        <v>776</v>
      </c>
      <c r="F97" s="130">
        <v>6.01</v>
      </c>
      <c r="G97" s="130">
        <v>0</v>
      </c>
      <c r="H97" s="130">
        <f>F97*AE97</f>
        <v>0</v>
      </c>
      <c r="I97" s="130">
        <f>J97-H97</f>
        <v>0</v>
      </c>
      <c r="J97" s="130">
        <f>F97*G97</f>
        <v>0</v>
      </c>
      <c r="K97" s="130">
        <v>0.04646</v>
      </c>
      <c r="L97" s="130">
        <f>F97*K97</f>
        <v>0.2792246</v>
      </c>
      <c r="M97" s="131" t="s">
        <v>803</v>
      </c>
      <c r="P97" s="19">
        <f>IF(AG97="5",J97,0)</f>
        <v>0</v>
      </c>
      <c r="R97" s="19">
        <f>IF(AG97="1",H97,0)</f>
        <v>0</v>
      </c>
      <c r="S97" s="19">
        <f>IF(AG97="1",I97,0)</f>
        <v>0</v>
      </c>
      <c r="T97" s="19">
        <f>IF(AG97="7",H97,0)</f>
        <v>0</v>
      </c>
      <c r="U97" s="19">
        <f>IF(AG97="7",I97,0)</f>
        <v>0</v>
      </c>
      <c r="V97" s="19">
        <f>IF(AG97="2",H97,0)</f>
        <v>0</v>
      </c>
      <c r="W97" s="19">
        <f>IF(AG97="2",I97,0)</f>
        <v>0</v>
      </c>
      <c r="X97" s="19">
        <f>IF(AG97="0",J97,0)</f>
        <v>0</v>
      </c>
      <c r="Y97" s="13" t="s">
        <v>197</v>
      </c>
      <c r="Z97" s="10">
        <f>IF(AD97=0,J97,0)</f>
        <v>0</v>
      </c>
      <c r="AA97" s="10">
        <f>IF(AD97=15,J97,0)</f>
        <v>0</v>
      </c>
      <c r="AB97" s="10">
        <f>IF(AD97=21,J97,0)</f>
        <v>0</v>
      </c>
      <c r="AD97" s="19">
        <v>21</v>
      </c>
      <c r="AE97" s="19">
        <f>G97*0.51209070620118</f>
        <v>0</v>
      </c>
      <c r="AF97" s="19">
        <f>G97*(1-0.51209070620118)</f>
        <v>0</v>
      </c>
      <c r="AG97" s="15" t="s">
        <v>7</v>
      </c>
      <c r="AM97" s="19">
        <f>F97*AE97</f>
        <v>0</v>
      </c>
      <c r="AN97" s="19">
        <f>F97*AF97</f>
        <v>0</v>
      </c>
      <c r="AO97" s="20" t="s">
        <v>822</v>
      </c>
      <c r="AP97" s="20" t="s">
        <v>850</v>
      </c>
      <c r="AQ97" s="13" t="s">
        <v>859</v>
      </c>
      <c r="AS97" s="19">
        <f>AM97+AN97</f>
        <v>0</v>
      </c>
      <c r="AT97" s="19">
        <f>G97/(100-AU97)*100</f>
        <v>0</v>
      </c>
      <c r="AU97" s="19">
        <v>0</v>
      </c>
      <c r="AV97" s="19">
        <f>L97</f>
        <v>0.2792246</v>
      </c>
    </row>
    <row r="98" spans="1:13" ht="12.75">
      <c r="A98" s="132"/>
      <c r="B98" s="132"/>
      <c r="C98" s="132"/>
      <c r="D98" s="133" t="s">
        <v>494</v>
      </c>
      <c r="E98" s="132"/>
      <c r="F98" s="134">
        <v>6.01</v>
      </c>
      <c r="G98" s="132"/>
      <c r="H98" s="132"/>
      <c r="I98" s="132"/>
      <c r="J98" s="132"/>
      <c r="K98" s="132"/>
      <c r="L98" s="132"/>
      <c r="M98" s="132"/>
    </row>
    <row r="99" spans="1:48" ht="12.75">
      <c r="A99" s="129" t="s">
        <v>41</v>
      </c>
      <c r="B99" s="129" t="s">
        <v>197</v>
      </c>
      <c r="C99" s="129" t="s">
        <v>233</v>
      </c>
      <c r="D99" s="129" t="s">
        <v>495</v>
      </c>
      <c r="E99" s="129" t="s">
        <v>779</v>
      </c>
      <c r="F99" s="130">
        <v>25.3</v>
      </c>
      <c r="G99" s="130">
        <v>0</v>
      </c>
      <c r="H99" s="130">
        <f>F99*AE99</f>
        <v>0</v>
      </c>
      <c r="I99" s="130">
        <f>J99-H99</f>
        <v>0</v>
      </c>
      <c r="J99" s="130">
        <f>F99*G99</f>
        <v>0</v>
      </c>
      <c r="K99" s="130">
        <v>0.11292</v>
      </c>
      <c r="L99" s="130">
        <f>F99*K99</f>
        <v>2.856876</v>
      </c>
      <c r="M99" s="131" t="s">
        <v>803</v>
      </c>
      <c r="P99" s="19">
        <f>IF(AG99="5",J99,0)</f>
        <v>0</v>
      </c>
      <c r="R99" s="19">
        <f>IF(AG99="1",H99,0)</f>
        <v>0</v>
      </c>
      <c r="S99" s="19">
        <f>IF(AG99="1",I99,0)</f>
        <v>0</v>
      </c>
      <c r="T99" s="19">
        <f>IF(AG99="7",H99,0)</f>
        <v>0</v>
      </c>
      <c r="U99" s="19">
        <f>IF(AG99="7",I99,0)</f>
        <v>0</v>
      </c>
      <c r="V99" s="19">
        <f>IF(AG99="2",H99,0)</f>
        <v>0</v>
      </c>
      <c r="W99" s="19">
        <f>IF(AG99="2",I99,0)</f>
        <v>0</v>
      </c>
      <c r="X99" s="19">
        <f>IF(AG99="0",J99,0)</f>
        <v>0</v>
      </c>
      <c r="Y99" s="13" t="s">
        <v>197</v>
      </c>
      <c r="Z99" s="10">
        <f>IF(AD99=0,J99,0)</f>
        <v>0</v>
      </c>
      <c r="AA99" s="10">
        <f>IF(AD99=15,J99,0)</f>
        <v>0</v>
      </c>
      <c r="AB99" s="10">
        <f>IF(AD99=21,J99,0)</f>
        <v>0</v>
      </c>
      <c r="AD99" s="19">
        <v>21</v>
      </c>
      <c r="AE99" s="19">
        <f>G99*0.391205298013245</f>
        <v>0</v>
      </c>
      <c r="AF99" s="19">
        <f>G99*(1-0.391205298013245)</f>
        <v>0</v>
      </c>
      <c r="AG99" s="15" t="s">
        <v>7</v>
      </c>
      <c r="AM99" s="19">
        <f>F99*AE99</f>
        <v>0</v>
      </c>
      <c r="AN99" s="19">
        <f>F99*AF99</f>
        <v>0</v>
      </c>
      <c r="AO99" s="20" t="s">
        <v>822</v>
      </c>
      <c r="AP99" s="20" t="s">
        <v>850</v>
      </c>
      <c r="AQ99" s="13" t="s">
        <v>859</v>
      </c>
      <c r="AS99" s="19">
        <f>AM99+AN99</f>
        <v>0</v>
      </c>
      <c r="AT99" s="19">
        <f>G99/(100-AU99)*100</f>
        <v>0</v>
      </c>
      <c r="AU99" s="19">
        <v>0</v>
      </c>
      <c r="AV99" s="19">
        <f>L99</f>
        <v>2.856876</v>
      </c>
    </row>
    <row r="100" spans="1:13" ht="12.75">
      <c r="A100" s="132"/>
      <c r="B100" s="132"/>
      <c r="C100" s="132"/>
      <c r="D100" s="133" t="s">
        <v>496</v>
      </c>
      <c r="E100" s="132"/>
      <c r="F100" s="134">
        <v>16</v>
      </c>
      <c r="G100" s="132"/>
      <c r="H100" s="132"/>
      <c r="I100" s="132"/>
      <c r="J100" s="132"/>
      <c r="K100" s="132"/>
      <c r="L100" s="132"/>
      <c r="M100" s="132"/>
    </row>
    <row r="101" spans="1:13" ht="12.75">
      <c r="A101" s="132"/>
      <c r="B101" s="132"/>
      <c r="C101" s="132"/>
      <c r="D101" s="133" t="s">
        <v>497</v>
      </c>
      <c r="E101" s="132"/>
      <c r="F101" s="134">
        <v>9.3</v>
      </c>
      <c r="G101" s="132"/>
      <c r="H101" s="132"/>
      <c r="I101" s="132"/>
      <c r="J101" s="132"/>
      <c r="K101" s="132"/>
      <c r="L101" s="132"/>
      <c r="M101" s="132"/>
    </row>
    <row r="102" spans="1:48" ht="12.75">
      <c r="A102" s="129" t="s">
        <v>42</v>
      </c>
      <c r="B102" s="129" t="s">
        <v>197</v>
      </c>
      <c r="C102" s="129" t="s">
        <v>234</v>
      </c>
      <c r="D102" s="129" t="s">
        <v>498</v>
      </c>
      <c r="E102" s="129" t="s">
        <v>776</v>
      </c>
      <c r="F102" s="130">
        <v>32.73</v>
      </c>
      <c r="G102" s="130">
        <v>0</v>
      </c>
      <c r="H102" s="130">
        <f>F102*AE102</f>
        <v>0</v>
      </c>
      <c r="I102" s="130">
        <f>J102-H102</f>
        <v>0</v>
      </c>
      <c r="J102" s="130">
        <f>F102*G102</f>
        <v>0</v>
      </c>
      <c r="K102" s="130">
        <v>0.01685</v>
      </c>
      <c r="L102" s="130">
        <f>F102*K102</f>
        <v>0.5515005</v>
      </c>
      <c r="M102" s="131" t="s">
        <v>803</v>
      </c>
      <c r="P102" s="19">
        <f>IF(AG102="5",J102,0)</f>
        <v>0</v>
      </c>
      <c r="R102" s="19">
        <f>IF(AG102="1",H102,0)</f>
        <v>0</v>
      </c>
      <c r="S102" s="19">
        <f>IF(AG102="1",I102,0)</f>
        <v>0</v>
      </c>
      <c r="T102" s="19">
        <f>IF(AG102="7",H102,0)</f>
        <v>0</v>
      </c>
      <c r="U102" s="19">
        <f>IF(AG102="7",I102,0)</f>
        <v>0</v>
      </c>
      <c r="V102" s="19">
        <f>IF(AG102="2",H102,0)</f>
        <v>0</v>
      </c>
      <c r="W102" s="19">
        <f>IF(AG102="2",I102,0)</f>
        <v>0</v>
      </c>
      <c r="X102" s="19">
        <f>IF(AG102="0",J102,0)</f>
        <v>0</v>
      </c>
      <c r="Y102" s="13" t="s">
        <v>197</v>
      </c>
      <c r="Z102" s="10">
        <f>IF(AD102=0,J102,0)</f>
        <v>0</v>
      </c>
      <c r="AA102" s="10">
        <f>IF(AD102=15,J102,0)</f>
        <v>0</v>
      </c>
      <c r="AB102" s="10">
        <f>IF(AD102=21,J102,0)</f>
        <v>0</v>
      </c>
      <c r="AD102" s="19">
        <v>21</v>
      </c>
      <c r="AE102" s="19">
        <f>G102*0.371448902759608</f>
        <v>0</v>
      </c>
      <c r="AF102" s="19">
        <f>G102*(1-0.371448902759608)</f>
        <v>0</v>
      </c>
      <c r="AG102" s="15" t="s">
        <v>7</v>
      </c>
      <c r="AM102" s="19">
        <f>F102*AE102</f>
        <v>0</v>
      </c>
      <c r="AN102" s="19">
        <f>F102*AF102</f>
        <v>0</v>
      </c>
      <c r="AO102" s="20" t="s">
        <v>822</v>
      </c>
      <c r="AP102" s="20" t="s">
        <v>850</v>
      </c>
      <c r="AQ102" s="13" t="s">
        <v>859</v>
      </c>
      <c r="AS102" s="19">
        <f>AM102+AN102</f>
        <v>0</v>
      </c>
      <c r="AT102" s="19">
        <f>G102/(100-AU102)*100</f>
        <v>0</v>
      </c>
      <c r="AU102" s="19">
        <v>0</v>
      </c>
      <c r="AV102" s="19">
        <f>L102</f>
        <v>0.5515005</v>
      </c>
    </row>
    <row r="103" spans="1:37" ht="12.75">
      <c r="A103" s="125"/>
      <c r="B103" s="126" t="s">
        <v>197</v>
      </c>
      <c r="C103" s="126" t="s">
        <v>66</v>
      </c>
      <c r="D103" s="126" t="s">
        <v>499</v>
      </c>
      <c r="E103" s="125" t="s">
        <v>6</v>
      </c>
      <c r="F103" s="125" t="s">
        <v>6</v>
      </c>
      <c r="G103" s="125" t="s">
        <v>6</v>
      </c>
      <c r="H103" s="127">
        <f>SUM(H104:H145)</f>
        <v>0</v>
      </c>
      <c r="I103" s="127">
        <f>SUM(I104:I145)</f>
        <v>0</v>
      </c>
      <c r="J103" s="127">
        <f>H103+I103</f>
        <v>0</v>
      </c>
      <c r="K103" s="128"/>
      <c r="L103" s="127">
        <f>SUM(L104:L145)</f>
        <v>2.8889270000000002</v>
      </c>
      <c r="M103" s="128"/>
      <c r="Y103" s="13" t="s">
        <v>197</v>
      </c>
      <c r="AI103" s="22">
        <f>SUM(Z104:Z145)</f>
        <v>0</v>
      </c>
      <c r="AJ103" s="22">
        <f>SUM(AA104:AA145)</f>
        <v>0</v>
      </c>
      <c r="AK103" s="22">
        <f>SUM(AB104:AB145)</f>
        <v>0</v>
      </c>
    </row>
    <row r="104" spans="1:48" ht="12.75">
      <c r="A104" s="129" t="s">
        <v>43</v>
      </c>
      <c r="B104" s="129" t="s">
        <v>197</v>
      </c>
      <c r="C104" s="129" t="s">
        <v>235</v>
      </c>
      <c r="D104" s="129" t="s">
        <v>500</v>
      </c>
      <c r="E104" s="129" t="s">
        <v>776</v>
      </c>
      <c r="F104" s="130">
        <v>118.05</v>
      </c>
      <c r="G104" s="130">
        <v>0</v>
      </c>
      <c r="H104" s="130">
        <f>F104*AE104</f>
        <v>0</v>
      </c>
      <c r="I104" s="130">
        <f>J104-H104</f>
        <v>0</v>
      </c>
      <c r="J104" s="130">
        <f>F104*G104</f>
        <v>0</v>
      </c>
      <c r="K104" s="130">
        <v>0.017</v>
      </c>
      <c r="L104" s="130">
        <f>F104*K104</f>
        <v>2.00685</v>
      </c>
      <c r="M104" s="131" t="s">
        <v>803</v>
      </c>
      <c r="P104" s="19">
        <f>IF(AG104="5",J104,0)</f>
        <v>0</v>
      </c>
      <c r="R104" s="19">
        <f>IF(AG104="1",H104,0)</f>
        <v>0</v>
      </c>
      <c r="S104" s="19">
        <f>IF(AG104="1",I104,0)</f>
        <v>0</v>
      </c>
      <c r="T104" s="19">
        <f>IF(AG104="7",H104,0)</f>
        <v>0</v>
      </c>
      <c r="U104" s="19">
        <f>IF(AG104="7",I104,0)</f>
        <v>0</v>
      </c>
      <c r="V104" s="19">
        <f>IF(AG104="2",H104,0)</f>
        <v>0</v>
      </c>
      <c r="W104" s="19">
        <f>IF(AG104="2",I104,0)</f>
        <v>0</v>
      </c>
      <c r="X104" s="19">
        <f>IF(AG104="0",J104,0)</f>
        <v>0</v>
      </c>
      <c r="Y104" s="13" t="s">
        <v>197</v>
      </c>
      <c r="Z104" s="10">
        <f>IF(AD104=0,J104,0)</f>
        <v>0</v>
      </c>
      <c r="AA104" s="10">
        <f>IF(AD104=15,J104,0)</f>
        <v>0</v>
      </c>
      <c r="AB104" s="10">
        <f>IF(AD104=21,J104,0)</f>
        <v>0</v>
      </c>
      <c r="AD104" s="19">
        <v>21</v>
      </c>
      <c r="AE104" s="19">
        <f>G104*0.275013152909101</f>
        <v>0</v>
      </c>
      <c r="AF104" s="19">
        <f>G104*(1-0.275013152909101)</f>
        <v>0</v>
      </c>
      <c r="AG104" s="15" t="s">
        <v>7</v>
      </c>
      <c r="AM104" s="19">
        <f>F104*AE104</f>
        <v>0</v>
      </c>
      <c r="AN104" s="19">
        <f>F104*AF104</f>
        <v>0</v>
      </c>
      <c r="AO104" s="20" t="s">
        <v>823</v>
      </c>
      <c r="AP104" s="20" t="s">
        <v>851</v>
      </c>
      <c r="AQ104" s="13" t="s">
        <v>859</v>
      </c>
      <c r="AS104" s="19">
        <f>AM104+AN104</f>
        <v>0</v>
      </c>
      <c r="AT104" s="19">
        <f>G104/(100-AU104)*100</f>
        <v>0</v>
      </c>
      <c r="AU104" s="19">
        <v>0</v>
      </c>
      <c r="AV104" s="19">
        <f>L104</f>
        <v>2.00685</v>
      </c>
    </row>
    <row r="105" spans="1:13" ht="12.75">
      <c r="A105" s="132"/>
      <c r="B105" s="132"/>
      <c r="C105" s="132"/>
      <c r="D105" s="133" t="s">
        <v>501</v>
      </c>
      <c r="E105" s="132"/>
      <c r="F105" s="134">
        <v>43.2</v>
      </c>
      <c r="G105" s="132"/>
      <c r="H105" s="132"/>
      <c r="I105" s="132"/>
      <c r="J105" s="132"/>
      <c r="K105" s="132"/>
      <c r="L105" s="132"/>
      <c r="M105" s="132"/>
    </row>
    <row r="106" spans="1:13" ht="12.75">
      <c r="A106" s="132"/>
      <c r="B106" s="132"/>
      <c r="C106" s="132"/>
      <c r="D106" s="133" t="s">
        <v>467</v>
      </c>
      <c r="E106" s="132"/>
      <c r="F106" s="134">
        <v>-3.13</v>
      </c>
      <c r="G106" s="132"/>
      <c r="H106" s="132"/>
      <c r="I106" s="132"/>
      <c r="J106" s="132"/>
      <c r="K106" s="132"/>
      <c r="L106" s="132"/>
      <c r="M106" s="132"/>
    </row>
    <row r="107" spans="1:13" ht="12.75">
      <c r="A107" s="132"/>
      <c r="B107" s="132"/>
      <c r="C107" s="132"/>
      <c r="D107" s="133" t="s">
        <v>502</v>
      </c>
      <c r="E107" s="132"/>
      <c r="F107" s="134">
        <v>0.25</v>
      </c>
      <c r="G107" s="132"/>
      <c r="H107" s="132"/>
      <c r="I107" s="132"/>
      <c r="J107" s="132"/>
      <c r="K107" s="132"/>
      <c r="L107" s="132"/>
      <c r="M107" s="132"/>
    </row>
    <row r="108" spans="1:13" ht="12.75">
      <c r="A108" s="132"/>
      <c r="B108" s="132"/>
      <c r="C108" s="132"/>
      <c r="D108" s="133" t="s">
        <v>469</v>
      </c>
      <c r="E108" s="132"/>
      <c r="F108" s="134">
        <v>-1.85</v>
      </c>
      <c r="G108" s="132"/>
      <c r="H108" s="132"/>
      <c r="I108" s="132"/>
      <c r="J108" s="132"/>
      <c r="K108" s="132"/>
      <c r="L108" s="132"/>
      <c r="M108" s="132"/>
    </row>
    <row r="109" spans="1:13" ht="12.75">
      <c r="A109" s="132"/>
      <c r="B109" s="132"/>
      <c r="C109" s="132"/>
      <c r="D109" s="133" t="s">
        <v>503</v>
      </c>
      <c r="E109" s="132"/>
      <c r="F109" s="134">
        <v>-1.4</v>
      </c>
      <c r="G109" s="132"/>
      <c r="H109" s="132"/>
      <c r="I109" s="132"/>
      <c r="J109" s="132"/>
      <c r="K109" s="132"/>
      <c r="L109" s="132"/>
      <c r="M109" s="132"/>
    </row>
    <row r="110" spans="1:13" ht="12.75">
      <c r="A110" s="132"/>
      <c r="B110" s="132"/>
      <c r="C110" s="132"/>
      <c r="D110" s="133" t="s">
        <v>504</v>
      </c>
      <c r="E110" s="132"/>
      <c r="F110" s="134">
        <v>15.37</v>
      </c>
      <c r="G110" s="132"/>
      <c r="H110" s="132"/>
      <c r="I110" s="132"/>
      <c r="J110" s="132"/>
      <c r="K110" s="132"/>
      <c r="L110" s="132"/>
      <c r="M110" s="132"/>
    </row>
    <row r="111" spans="1:13" ht="12.75">
      <c r="A111" s="132"/>
      <c r="B111" s="132"/>
      <c r="C111" s="132"/>
      <c r="D111" s="133" t="s">
        <v>503</v>
      </c>
      <c r="E111" s="132"/>
      <c r="F111" s="134">
        <v>-1.4</v>
      </c>
      <c r="G111" s="132"/>
      <c r="H111" s="132"/>
      <c r="I111" s="132"/>
      <c r="J111" s="132"/>
      <c r="K111" s="132"/>
      <c r="L111" s="132"/>
      <c r="M111" s="132"/>
    </row>
    <row r="112" spans="1:13" ht="12.75">
      <c r="A112" s="132"/>
      <c r="B112" s="132"/>
      <c r="C112" s="132"/>
      <c r="D112" s="133" t="s">
        <v>505</v>
      </c>
      <c r="E112" s="132"/>
      <c r="F112" s="134">
        <v>-0.32</v>
      </c>
      <c r="G112" s="132"/>
      <c r="H112" s="132"/>
      <c r="I112" s="132"/>
      <c r="J112" s="132"/>
      <c r="K112" s="132"/>
      <c r="L112" s="132"/>
      <c r="M112" s="132"/>
    </row>
    <row r="113" spans="1:13" ht="12.75">
      <c r="A113" s="132"/>
      <c r="B113" s="132"/>
      <c r="C113" s="132"/>
      <c r="D113" s="133" t="s">
        <v>506</v>
      </c>
      <c r="E113" s="132"/>
      <c r="F113" s="134">
        <v>0.08</v>
      </c>
      <c r="G113" s="132"/>
      <c r="H113" s="132"/>
      <c r="I113" s="132"/>
      <c r="J113" s="132"/>
      <c r="K113" s="132"/>
      <c r="L113" s="132"/>
      <c r="M113" s="132"/>
    </row>
    <row r="114" spans="1:13" ht="12.75">
      <c r="A114" s="132"/>
      <c r="B114" s="132"/>
      <c r="C114" s="132"/>
      <c r="D114" s="133" t="s">
        <v>507</v>
      </c>
      <c r="E114" s="132"/>
      <c r="F114" s="134">
        <v>30.74</v>
      </c>
      <c r="G114" s="132"/>
      <c r="H114" s="132"/>
      <c r="I114" s="132"/>
      <c r="J114" s="132"/>
      <c r="K114" s="132"/>
      <c r="L114" s="132"/>
      <c r="M114" s="132"/>
    </row>
    <row r="115" spans="1:13" ht="12.75">
      <c r="A115" s="132"/>
      <c r="B115" s="132"/>
      <c r="C115" s="132"/>
      <c r="D115" s="133" t="s">
        <v>470</v>
      </c>
      <c r="E115" s="132"/>
      <c r="F115" s="134">
        <v>-3.08</v>
      </c>
      <c r="G115" s="132"/>
      <c r="H115" s="132"/>
      <c r="I115" s="132"/>
      <c r="J115" s="132"/>
      <c r="K115" s="132"/>
      <c r="L115" s="132"/>
      <c r="M115" s="132"/>
    </row>
    <row r="116" spans="1:13" ht="12.75">
      <c r="A116" s="132"/>
      <c r="B116" s="132"/>
      <c r="C116" s="132"/>
      <c r="D116" s="133" t="s">
        <v>508</v>
      </c>
      <c r="E116" s="132"/>
      <c r="F116" s="134">
        <v>-0.64</v>
      </c>
      <c r="G116" s="132"/>
      <c r="H116" s="132"/>
      <c r="I116" s="132"/>
      <c r="J116" s="132"/>
      <c r="K116" s="132"/>
      <c r="L116" s="132"/>
      <c r="M116" s="132"/>
    </row>
    <row r="117" spans="1:13" ht="12.75">
      <c r="A117" s="132"/>
      <c r="B117" s="132"/>
      <c r="C117" s="132"/>
      <c r="D117" s="133" t="s">
        <v>509</v>
      </c>
      <c r="E117" s="132"/>
      <c r="F117" s="134">
        <v>0.16</v>
      </c>
      <c r="G117" s="132"/>
      <c r="H117" s="132"/>
      <c r="I117" s="132"/>
      <c r="J117" s="132"/>
      <c r="K117" s="132"/>
      <c r="L117" s="132"/>
      <c r="M117" s="132"/>
    </row>
    <row r="118" spans="1:13" ht="12.75">
      <c r="A118" s="132"/>
      <c r="B118" s="132"/>
      <c r="C118" s="132"/>
      <c r="D118" s="133" t="s">
        <v>510</v>
      </c>
      <c r="E118" s="132"/>
      <c r="F118" s="134">
        <v>24.12</v>
      </c>
      <c r="G118" s="132"/>
      <c r="H118" s="132"/>
      <c r="I118" s="132"/>
      <c r="J118" s="132"/>
      <c r="K118" s="132"/>
      <c r="L118" s="132"/>
      <c r="M118" s="132"/>
    </row>
    <row r="119" spans="1:13" ht="12.75">
      <c r="A119" s="132"/>
      <c r="B119" s="132"/>
      <c r="C119" s="132"/>
      <c r="D119" s="133" t="s">
        <v>468</v>
      </c>
      <c r="E119" s="132"/>
      <c r="F119" s="134">
        <v>-2.21</v>
      </c>
      <c r="G119" s="132"/>
      <c r="H119" s="132"/>
      <c r="I119" s="132"/>
      <c r="J119" s="132"/>
      <c r="K119" s="132"/>
      <c r="L119" s="132"/>
      <c r="M119" s="132"/>
    </row>
    <row r="120" spans="1:13" ht="12.75">
      <c r="A120" s="132"/>
      <c r="B120" s="132"/>
      <c r="C120" s="132"/>
      <c r="D120" s="133" t="s">
        <v>503</v>
      </c>
      <c r="E120" s="132"/>
      <c r="F120" s="134">
        <v>-1.4</v>
      </c>
      <c r="G120" s="132"/>
      <c r="H120" s="132"/>
      <c r="I120" s="132"/>
      <c r="J120" s="132"/>
      <c r="K120" s="132"/>
      <c r="L120" s="132"/>
      <c r="M120" s="132"/>
    </row>
    <row r="121" spans="1:13" ht="12.75">
      <c r="A121" s="132"/>
      <c r="B121" s="132"/>
      <c r="C121" s="132"/>
      <c r="D121" s="133" t="s">
        <v>511</v>
      </c>
      <c r="E121" s="132"/>
      <c r="F121" s="134">
        <v>21.2</v>
      </c>
      <c r="G121" s="132"/>
      <c r="H121" s="132"/>
      <c r="I121" s="132"/>
      <c r="J121" s="132"/>
      <c r="K121" s="132"/>
      <c r="L121" s="132"/>
      <c r="M121" s="132"/>
    </row>
    <row r="122" spans="1:13" ht="12.75">
      <c r="A122" s="132"/>
      <c r="B122" s="132"/>
      <c r="C122" s="132"/>
      <c r="D122" s="133" t="s">
        <v>503</v>
      </c>
      <c r="E122" s="132"/>
      <c r="F122" s="134">
        <v>-1.4</v>
      </c>
      <c r="G122" s="132"/>
      <c r="H122" s="132"/>
      <c r="I122" s="132"/>
      <c r="J122" s="132"/>
      <c r="K122" s="132"/>
      <c r="L122" s="132"/>
      <c r="M122" s="132"/>
    </row>
    <row r="123" spans="1:13" ht="12.75">
      <c r="A123" s="132"/>
      <c r="B123" s="132"/>
      <c r="C123" s="132"/>
      <c r="D123" s="133" t="s">
        <v>505</v>
      </c>
      <c r="E123" s="132"/>
      <c r="F123" s="134">
        <v>-0.32</v>
      </c>
      <c r="G123" s="132"/>
      <c r="H123" s="132"/>
      <c r="I123" s="132"/>
      <c r="J123" s="132"/>
      <c r="K123" s="132"/>
      <c r="L123" s="132"/>
      <c r="M123" s="132"/>
    </row>
    <row r="124" spans="1:13" ht="12.75">
      <c r="A124" s="132"/>
      <c r="B124" s="132"/>
      <c r="C124" s="132"/>
      <c r="D124" s="133" t="s">
        <v>506</v>
      </c>
      <c r="E124" s="132"/>
      <c r="F124" s="134">
        <v>0.08</v>
      </c>
      <c r="G124" s="132"/>
      <c r="H124" s="132"/>
      <c r="I124" s="132"/>
      <c r="J124" s="132"/>
      <c r="K124" s="132"/>
      <c r="L124" s="132"/>
      <c r="M124" s="132"/>
    </row>
    <row r="125" spans="1:48" ht="12.75">
      <c r="A125" s="129" t="s">
        <v>44</v>
      </c>
      <c r="B125" s="129" t="s">
        <v>197</v>
      </c>
      <c r="C125" s="129" t="s">
        <v>236</v>
      </c>
      <c r="D125" s="129" t="s">
        <v>512</v>
      </c>
      <c r="E125" s="129" t="s">
        <v>776</v>
      </c>
      <c r="F125" s="130">
        <v>79.31</v>
      </c>
      <c r="G125" s="130">
        <v>0</v>
      </c>
      <c r="H125" s="130">
        <f>F125*AE125</f>
        <v>0</v>
      </c>
      <c r="I125" s="130">
        <f>J125-H125</f>
        <v>0</v>
      </c>
      <c r="J125" s="130">
        <f>F125*G125</f>
        <v>0</v>
      </c>
      <c r="K125" s="130">
        <v>0.0025</v>
      </c>
      <c r="L125" s="130">
        <f>F125*K125</f>
        <v>0.198275</v>
      </c>
      <c r="M125" s="131" t="s">
        <v>803</v>
      </c>
      <c r="P125" s="19">
        <f>IF(AG125="5",J125,0)</f>
        <v>0</v>
      </c>
      <c r="R125" s="19">
        <f>IF(AG125="1",H125,0)</f>
        <v>0</v>
      </c>
      <c r="S125" s="19">
        <f>IF(AG125="1",I125,0)</f>
        <v>0</v>
      </c>
      <c r="T125" s="19">
        <f>IF(AG125="7",H125,0)</f>
        <v>0</v>
      </c>
      <c r="U125" s="19">
        <f>IF(AG125="7",I125,0)</f>
        <v>0</v>
      </c>
      <c r="V125" s="19">
        <f>IF(AG125="2",H125,0)</f>
        <v>0</v>
      </c>
      <c r="W125" s="19">
        <f>IF(AG125="2",I125,0)</f>
        <v>0</v>
      </c>
      <c r="X125" s="19">
        <f>IF(AG125="0",J125,0)</f>
        <v>0</v>
      </c>
      <c r="Y125" s="13" t="s">
        <v>197</v>
      </c>
      <c r="Z125" s="10">
        <f>IF(AD125=0,J125,0)</f>
        <v>0</v>
      </c>
      <c r="AA125" s="10">
        <f>IF(AD125=15,J125,0)</f>
        <v>0</v>
      </c>
      <c r="AB125" s="10">
        <f>IF(AD125=21,J125,0)</f>
        <v>0</v>
      </c>
      <c r="AD125" s="19">
        <v>21</v>
      </c>
      <c r="AE125" s="19">
        <f>G125*0.0927361682615149</f>
        <v>0</v>
      </c>
      <c r="AF125" s="19">
        <f>G125*(1-0.0927361682615149)</f>
        <v>0</v>
      </c>
      <c r="AG125" s="15" t="s">
        <v>7</v>
      </c>
      <c r="AM125" s="19">
        <f>F125*AE125</f>
        <v>0</v>
      </c>
      <c r="AN125" s="19">
        <f>F125*AF125</f>
        <v>0</v>
      </c>
      <c r="AO125" s="20" t="s">
        <v>823</v>
      </c>
      <c r="AP125" s="20" t="s">
        <v>851</v>
      </c>
      <c r="AQ125" s="13" t="s">
        <v>859</v>
      </c>
      <c r="AS125" s="19">
        <f>AM125+AN125</f>
        <v>0</v>
      </c>
      <c r="AT125" s="19">
        <f>G125/(100-AU125)*100</f>
        <v>0</v>
      </c>
      <c r="AU125" s="19">
        <v>0</v>
      </c>
      <c r="AV125" s="19">
        <f>L125</f>
        <v>0.198275</v>
      </c>
    </row>
    <row r="126" spans="1:13" ht="12.75">
      <c r="A126" s="132"/>
      <c r="B126" s="132"/>
      <c r="C126" s="132"/>
      <c r="D126" s="133" t="s">
        <v>513</v>
      </c>
      <c r="E126" s="132"/>
      <c r="F126" s="134">
        <v>17.12</v>
      </c>
      <c r="G126" s="132"/>
      <c r="H126" s="132"/>
      <c r="I126" s="132"/>
      <c r="J126" s="132"/>
      <c r="K126" s="132"/>
      <c r="L126" s="132"/>
      <c r="M126" s="132"/>
    </row>
    <row r="127" spans="1:13" ht="12.75">
      <c r="A127" s="132"/>
      <c r="B127" s="132"/>
      <c r="C127" s="132"/>
      <c r="D127" s="133" t="s">
        <v>514</v>
      </c>
      <c r="E127" s="132"/>
      <c r="F127" s="134">
        <v>-0.35</v>
      </c>
      <c r="G127" s="132"/>
      <c r="H127" s="132"/>
      <c r="I127" s="132"/>
      <c r="J127" s="132"/>
      <c r="K127" s="132"/>
      <c r="L127" s="132"/>
      <c r="M127" s="132"/>
    </row>
    <row r="128" spans="1:13" ht="12.75">
      <c r="A128" s="132"/>
      <c r="B128" s="132"/>
      <c r="C128" s="132"/>
      <c r="D128" s="133" t="s">
        <v>515</v>
      </c>
      <c r="E128" s="132"/>
      <c r="F128" s="134">
        <v>-0.5</v>
      </c>
      <c r="G128" s="132"/>
      <c r="H128" s="132"/>
      <c r="I128" s="132"/>
      <c r="J128" s="132"/>
      <c r="K128" s="132"/>
      <c r="L128" s="132"/>
      <c r="M128" s="132"/>
    </row>
    <row r="129" spans="1:13" ht="12.75">
      <c r="A129" s="132"/>
      <c r="B129" s="132"/>
      <c r="C129" s="132"/>
      <c r="D129" s="133" t="s">
        <v>516</v>
      </c>
      <c r="E129" s="132"/>
      <c r="F129" s="134">
        <v>-2.38</v>
      </c>
      <c r="G129" s="132"/>
      <c r="H129" s="132"/>
      <c r="I129" s="132"/>
      <c r="J129" s="132"/>
      <c r="K129" s="132"/>
      <c r="L129" s="132"/>
      <c r="M129" s="132"/>
    </row>
    <row r="130" spans="1:13" ht="12.75">
      <c r="A130" s="132"/>
      <c r="B130" s="132"/>
      <c r="C130" s="132"/>
      <c r="D130" s="133" t="s">
        <v>504</v>
      </c>
      <c r="E130" s="132"/>
      <c r="F130" s="134">
        <v>15.37</v>
      </c>
      <c r="G130" s="132"/>
      <c r="H130" s="132"/>
      <c r="I130" s="132"/>
      <c r="J130" s="132"/>
      <c r="K130" s="132"/>
      <c r="L130" s="132"/>
      <c r="M130" s="132"/>
    </row>
    <row r="131" spans="1:13" ht="12.75">
      <c r="A131" s="132"/>
      <c r="B131" s="132"/>
      <c r="C131" s="132"/>
      <c r="D131" s="133" t="s">
        <v>503</v>
      </c>
      <c r="E131" s="132"/>
      <c r="F131" s="134">
        <v>-1.4</v>
      </c>
      <c r="G131" s="132"/>
      <c r="H131" s="132"/>
      <c r="I131" s="132"/>
      <c r="J131" s="132"/>
      <c r="K131" s="132"/>
      <c r="L131" s="132"/>
      <c r="M131" s="132"/>
    </row>
    <row r="132" spans="1:13" ht="12.75">
      <c r="A132" s="132"/>
      <c r="B132" s="132"/>
      <c r="C132" s="132"/>
      <c r="D132" s="133" t="s">
        <v>505</v>
      </c>
      <c r="E132" s="132"/>
      <c r="F132" s="134">
        <v>-0.32</v>
      </c>
      <c r="G132" s="132"/>
      <c r="H132" s="132"/>
      <c r="I132" s="132"/>
      <c r="J132" s="132"/>
      <c r="K132" s="132"/>
      <c r="L132" s="132"/>
      <c r="M132" s="132"/>
    </row>
    <row r="133" spans="1:13" ht="12.75">
      <c r="A133" s="132"/>
      <c r="B133" s="132"/>
      <c r="C133" s="132"/>
      <c r="D133" s="133" t="s">
        <v>506</v>
      </c>
      <c r="E133" s="132"/>
      <c r="F133" s="134">
        <v>0.08</v>
      </c>
      <c r="G133" s="132"/>
      <c r="H133" s="132"/>
      <c r="I133" s="132"/>
      <c r="J133" s="132"/>
      <c r="K133" s="132"/>
      <c r="L133" s="132"/>
      <c r="M133" s="132"/>
    </row>
    <row r="134" spans="1:13" ht="12.75">
      <c r="A134" s="132"/>
      <c r="B134" s="132"/>
      <c r="C134" s="132"/>
      <c r="D134" s="133" t="s">
        <v>507</v>
      </c>
      <c r="E134" s="132"/>
      <c r="F134" s="134">
        <v>30.74</v>
      </c>
      <c r="G134" s="132"/>
      <c r="H134" s="132"/>
      <c r="I134" s="132"/>
      <c r="J134" s="132"/>
      <c r="K134" s="132"/>
      <c r="L134" s="132"/>
      <c r="M134" s="132"/>
    </row>
    <row r="135" spans="1:13" ht="12.75">
      <c r="A135" s="132"/>
      <c r="B135" s="132"/>
      <c r="C135" s="132"/>
      <c r="D135" s="133" t="s">
        <v>470</v>
      </c>
      <c r="E135" s="132"/>
      <c r="F135" s="134">
        <v>-3.08</v>
      </c>
      <c r="G135" s="132"/>
      <c r="H135" s="132"/>
      <c r="I135" s="132"/>
      <c r="J135" s="132"/>
      <c r="K135" s="132"/>
      <c r="L135" s="132"/>
      <c r="M135" s="132"/>
    </row>
    <row r="136" spans="1:13" ht="12.75">
      <c r="A136" s="132"/>
      <c r="B136" s="132"/>
      <c r="C136" s="132"/>
      <c r="D136" s="133" t="s">
        <v>508</v>
      </c>
      <c r="E136" s="132"/>
      <c r="F136" s="134">
        <v>-0.64</v>
      </c>
      <c r="G136" s="132"/>
      <c r="H136" s="132"/>
      <c r="I136" s="132"/>
      <c r="J136" s="132"/>
      <c r="K136" s="132"/>
      <c r="L136" s="132"/>
      <c r="M136" s="132"/>
    </row>
    <row r="137" spans="1:13" ht="12.75">
      <c r="A137" s="132"/>
      <c r="B137" s="132"/>
      <c r="C137" s="132"/>
      <c r="D137" s="133" t="s">
        <v>509</v>
      </c>
      <c r="E137" s="132"/>
      <c r="F137" s="134">
        <v>0.16</v>
      </c>
      <c r="G137" s="132"/>
      <c r="H137" s="132"/>
      <c r="I137" s="132"/>
      <c r="J137" s="132"/>
      <c r="K137" s="132"/>
      <c r="L137" s="132"/>
      <c r="M137" s="132"/>
    </row>
    <row r="138" spans="1:13" ht="12.75">
      <c r="A138" s="132"/>
      <c r="B138" s="132"/>
      <c r="C138" s="132"/>
      <c r="D138" s="133" t="s">
        <v>510</v>
      </c>
      <c r="E138" s="132"/>
      <c r="F138" s="134">
        <v>24.12</v>
      </c>
      <c r="G138" s="132"/>
      <c r="H138" s="132"/>
      <c r="I138" s="132"/>
      <c r="J138" s="132"/>
      <c r="K138" s="132"/>
      <c r="L138" s="132"/>
      <c r="M138" s="132"/>
    </row>
    <row r="139" spans="1:13" ht="12.75">
      <c r="A139" s="132"/>
      <c r="B139" s="132"/>
      <c r="C139" s="132"/>
      <c r="D139" s="133" t="s">
        <v>503</v>
      </c>
      <c r="E139" s="132"/>
      <c r="F139" s="134">
        <v>-1.4</v>
      </c>
      <c r="G139" s="132"/>
      <c r="H139" s="132"/>
      <c r="I139" s="132"/>
      <c r="J139" s="132"/>
      <c r="K139" s="132"/>
      <c r="L139" s="132"/>
      <c r="M139" s="132"/>
    </row>
    <row r="140" spans="1:13" ht="12.75">
      <c r="A140" s="132"/>
      <c r="B140" s="132"/>
      <c r="C140" s="132"/>
      <c r="D140" s="133" t="s">
        <v>468</v>
      </c>
      <c r="E140" s="132"/>
      <c r="F140" s="134">
        <v>-2.21</v>
      </c>
      <c r="G140" s="132"/>
      <c r="H140" s="132"/>
      <c r="I140" s="132"/>
      <c r="J140" s="132"/>
      <c r="K140" s="132"/>
      <c r="L140" s="132"/>
      <c r="M140" s="132"/>
    </row>
    <row r="141" spans="1:13" ht="12.75">
      <c r="A141" s="132"/>
      <c r="B141" s="132"/>
      <c r="C141" s="132"/>
      <c r="D141" s="133" t="s">
        <v>517</v>
      </c>
      <c r="E141" s="132"/>
      <c r="F141" s="134">
        <v>4</v>
      </c>
      <c r="G141" s="132"/>
      <c r="H141" s="132"/>
      <c r="I141" s="132"/>
      <c r="J141" s="132"/>
      <c r="K141" s="132"/>
      <c r="L141" s="132"/>
      <c r="M141" s="132"/>
    </row>
    <row r="142" spans="1:48" ht="12.75">
      <c r="A142" s="129" t="s">
        <v>45</v>
      </c>
      <c r="B142" s="129" t="s">
        <v>197</v>
      </c>
      <c r="C142" s="129" t="s">
        <v>237</v>
      </c>
      <c r="D142" s="129" t="s">
        <v>518</v>
      </c>
      <c r="E142" s="129" t="s">
        <v>776</v>
      </c>
      <c r="F142" s="130">
        <v>51.03</v>
      </c>
      <c r="G142" s="130">
        <v>0</v>
      </c>
      <c r="H142" s="130">
        <f>F142*AE142</f>
        <v>0</v>
      </c>
      <c r="I142" s="130">
        <f>J142-H142</f>
        <v>0</v>
      </c>
      <c r="J142" s="130">
        <f>F142*G142</f>
        <v>0</v>
      </c>
      <c r="K142" s="130">
        <v>0.00305</v>
      </c>
      <c r="L142" s="130">
        <f>F142*K142</f>
        <v>0.15564150000000002</v>
      </c>
      <c r="M142" s="131" t="s">
        <v>803</v>
      </c>
      <c r="P142" s="19">
        <f>IF(AG142="5",J142,0)</f>
        <v>0</v>
      </c>
      <c r="R142" s="19">
        <f>IF(AG142="1",H142,0)</f>
        <v>0</v>
      </c>
      <c r="S142" s="19">
        <f>IF(AG142="1",I142,0)</f>
        <v>0</v>
      </c>
      <c r="T142" s="19">
        <f>IF(AG142="7",H142,0)</f>
        <v>0</v>
      </c>
      <c r="U142" s="19">
        <f>IF(AG142="7",I142,0)</f>
        <v>0</v>
      </c>
      <c r="V142" s="19">
        <f>IF(AG142="2",H142,0)</f>
        <v>0</v>
      </c>
      <c r="W142" s="19">
        <f>IF(AG142="2",I142,0)</f>
        <v>0</v>
      </c>
      <c r="X142" s="19">
        <f>IF(AG142="0",J142,0)</f>
        <v>0</v>
      </c>
      <c r="Y142" s="13" t="s">
        <v>197</v>
      </c>
      <c r="Z142" s="10">
        <f>IF(AD142=0,J142,0)</f>
        <v>0</v>
      </c>
      <c r="AA142" s="10">
        <f>IF(AD142=15,J142,0)</f>
        <v>0</v>
      </c>
      <c r="AB142" s="10">
        <f>IF(AD142=21,J142,0)</f>
        <v>0</v>
      </c>
      <c r="AD142" s="19">
        <v>21</v>
      </c>
      <c r="AE142" s="19">
        <f>G142*0.296446195444366</f>
        <v>0</v>
      </c>
      <c r="AF142" s="19">
        <f>G142*(1-0.296446195444366)</f>
        <v>0</v>
      </c>
      <c r="AG142" s="15" t="s">
        <v>7</v>
      </c>
      <c r="AM142" s="19">
        <f>F142*AE142</f>
        <v>0</v>
      </c>
      <c r="AN142" s="19">
        <f>F142*AF142</f>
        <v>0</v>
      </c>
      <c r="AO142" s="20" t="s">
        <v>823</v>
      </c>
      <c r="AP142" s="20" t="s">
        <v>851</v>
      </c>
      <c r="AQ142" s="13" t="s">
        <v>859</v>
      </c>
      <c r="AS142" s="19">
        <f>AM142+AN142</f>
        <v>0</v>
      </c>
      <c r="AT142" s="19">
        <f>G142/(100-AU142)*100</f>
        <v>0</v>
      </c>
      <c r="AU142" s="19">
        <v>0</v>
      </c>
      <c r="AV142" s="19">
        <f>L142</f>
        <v>0.15564150000000002</v>
      </c>
    </row>
    <row r="143" spans="1:13" ht="12.75">
      <c r="A143" s="132"/>
      <c r="B143" s="132"/>
      <c r="C143" s="132"/>
      <c r="D143" s="133" t="s">
        <v>519</v>
      </c>
      <c r="E143" s="132"/>
      <c r="F143" s="134">
        <v>51.03</v>
      </c>
      <c r="G143" s="132"/>
      <c r="H143" s="132"/>
      <c r="I143" s="132"/>
      <c r="J143" s="132"/>
      <c r="K143" s="132"/>
      <c r="L143" s="132"/>
      <c r="M143" s="132"/>
    </row>
    <row r="144" spans="1:48" ht="12.75">
      <c r="A144" s="129" t="s">
        <v>46</v>
      </c>
      <c r="B144" s="129" t="s">
        <v>197</v>
      </c>
      <c r="C144" s="129" t="s">
        <v>238</v>
      </c>
      <c r="D144" s="129" t="s">
        <v>520</v>
      </c>
      <c r="E144" s="129" t="s">
        <v>776</v>
      </c>
      <c r="F144" s="130">
        <v>51.03</v>
      </c>
      <c r="G144" s="130">
        <v>0</v>
      </c>
      <c r="H144" s="130">
        <f>F144*AE144</f>
        <v>0</v>
      </c>
      <c r="I144" s="130">
        <f>J144-H144</f>
        <v>0</v>
      </c>
      <c r="J144" s="130">
        <f>F144*G144</f>
        <v>0</v>
      </c>
      <c r="K144" s="130">
        <v>0.00035</v>
      </c>
      <c r="L144" s="130">
        <f>F144*K144</f>
        <v>0.0178605</v>
      </c>
      <c r="M144" s="131" t="s">
        <v>803</v>
      </c>
      <c r="P144" s="19">
        <f>IF(AG144="5",J144,0)</f>
        <v>0</v>
      </c>
      <c r="R144" s="19">
        <f>IF(AG144="1",H144,0)</f>
        <v>0</v>
      </c>
      <c r="S144" s="19">
        <f>IF(AG144="1",I144,0)</f>
        <v>0</v>
      </c>
      <c r="T144" s="19">
        <f>IF(AG144="7",H144,0)</f>
        <v>0</v>
      </c>
      <c r="U144" s="19">
        <f>IF(AG144="7",I144,0)</f>
        <v>0</v>
      </c>
      <c r="V144" s="19">
        <f>IF(AG144="2",H144,0)</f>
        <v>0</v>
      </c>
      <c r="W144" s="19">
        <f>IF(AG144="2",I144,0)</f>
        <v>0</v>
      </c>
      <c r="X144" s="19">
        <f>IF(AG144="0",J144,0)</f>
        <v>0</v>
      </c>
      <c r="Y144" s="13" t="s">
        <v>197</v>
      </c>
      <c r="Z144" s="10">
        <f>IF(AD144=0,J144,0)</f>
        <v>0</v>
      </c>
      <c r="AA144" s="10">
        <f>IF(AD144=15,J144,0)</f>
        <v>0</v>
      </c>
      <c r="AB144" s="10">
        <f>IF(AD144=21,J144,0)</f>
        <v>0</v>
      </c>
      <c r="AD144" s="19">
        <v>21</v>
      </c>
      <c r="AE144" s="19">
        <f>G144*0.536171033638074</f>
        <v>0</v>
      </c>
      <c r="AF144" s="19">
        <f>G144*(1-0.536171033638074)</f>
        <v>0</v>
      </c>
      <c r="AG144" s="15" t="s">
        <v>7</v>
      </c>
      <c r="AM144" s="19">
        <f>F144*AE144</f>
        <v>0</v>
      </c>
      <c r="AN144" s="19">
        <f>F144*AF144</f>
        <v>0</v>
      </c>
      <c r="AO144" s="20" t="s">
        <v>823</v>
      </c>
      <c r="AP144" s="20" t="s">
        <v>851</v>
      </c>
      <c r="AQ144" s="13" t="s">
        <v>859</v>
      </c>
      <c r="AS144" s="19">
        <f>AM144+AN144</f>
        <v>0</v>
      </c>
      <c r="AT144" s="19">
        <f>G144/(100-AU144)*100</f>
        <v>0</v>
      </c>
      <c r="AU144" s="19">
        <v>0</v>
      </c>
      <c r="AV144" s="19">
        <f>L144</f>
        <v>0.0178605</v>
      </c>
    </row>
    <row r="145" spans="1:48" ht="12.75">
      <c r="A145" s="129" t="s">
        <v>47</v>
      </c>
      <c r="B145" s="129" t="s">
        <v>197</v>
      </c>
      <c r="C145" s="129" t="s">
        <v>239</v>
      </c>
      <c r="D145" s="129" t="s">
        <v>521</v>
      </c>
      <c r="E145" s="129" t="s">
        <v>776</v>
      </c>
      <c r="F145" s="130">
        <v>51.03</v>
      </c>
      <c r="G145" s="130">
        <v>0</v>
      </c>
      <c r="H145" s="130">
        <f>F145*AE145</f>
        <v>0</v>
      </c>
      <c r="I145" s="130">
        <f>J145-H145</f>
        <v>0</v>
      </c>
      <c r="J145" s="130">
        <f>F145*G145</f>
        <v>0</v>
      </c>
      <c r="K145" s="130">
        <v>0.01</v>
      </c>
      <c r="L145" s="130">
        <f>F145*K145</f>
        <v>0.5103</v>
      </c>
      <c r="M145" s="131" t="s">
        <v>803</v>
      </c>
      <c r="P145" s="19">
        <f>IF(AG145="5",J145,0)</f>
        <v>0</v>
      </c>
      <c r="R145" s="19">
        <f>IF(AG145="1",H145,0)</f>
        <v>0</v>
      </c>
      <c r="S145" s="19">
        <f>IF(AG145="1",I145,0)</f>
        <v>0</v>
      </c>
      <c r="T145" s="19">
        <f>IF(AG145="7",H145,0)</f>
        <v>0</v>
      </c>
      <c r="U145" s="19">
        <f>IF(AG145="7",I145,0)</f>
        <v>0</v>
      </c>
      <c r="V145" s="19">
        <f>IF(AG145="2",H145,0)</f>
        <v>0</v>
      </c>
      <c r="W145" s="19">
        <f>IF(AG145="2",I145,0)</f>
        <v>0</v>
      </c>
      <c r="X145" s="19">
        <f>IF(AG145="0",J145,0)</f>
        <v>0</v>
      </c>
      <c r="Y145" s="13" t="s">
        <v>197</v>
      </c>
      <c r="Z145" s="10">
        <f>IF(AD145=0,J145,0)</f>
        <v>0</v>
      </c>
      <c r="AA145" s="10">
        <f>IF(AD145=15,J145,0)</f>
        <v>0</v>
      </c>
      <c r="AB145" s="10">
        <f>IF(AD145=21,J145,0)</f>
        <v>0</v>
      </c>
      <c r="AD145" s="19">
        <v>21</v>
      </c>
      <c r="AE145" s="19">
        <f>G145*0.297925665126653</f>
        <v>0</v>
      </c>
      <c r="AF145" s="19">
        <f>G145*(1-0.297925665126653)</f>
        <v>0</v>
      </c>
      <c r="AG145" s="15" t="s">
        <v>7</v>
      </c>
      <c r="AM145" s="19">
        <f>F145*AE145</f>
        <v>0</v>
      </c>
      <c r="AN145" s="19">
        <f>F145*AF145</f>
        <v>0</v>
      </c>
      <c r="AO145" s="20" t="s">
        <v>823</v>
      </c>
      <c r="AP145" s="20" t="s">
        <v>851</v>
      </c>
      <c r="AQ145" s="13" t="s">
        <v>859</v>
      </c>
      <c r="AS145" s="19">
        <f>AM145+AN145</f>
        <v>0</v>
      </c>
      <c r="AT145" s="19">
        <f>G145/(100-AU145)*100</f>
        <v>0</v>
      </c>
      <c r="AU145" s="19">
        <v>0</v>
      </c>
      <c r="AV145" s="19">
        <f>L145</f>
        <v>0.5103</v>
      </c>
    </row>
    <row r="146" spans="1:13" ht="12.75">
      <c r="A146" s="132"/>
      <c r="B146" s="132"/>
      <c r="C146" s="132"/>
      <c r="D146" s="133" t="s">
        <v>522</v>
      </c>
      <c r="E146" s="132"/>
      <c r="F146" s="134">
        <v>21.2</v>
      </c>
      <c r="G146" s="132"/>
      <c r="H146" s="132"/>
      <c r="I146" s="132"/>
      <c r="J146" s="132"/>
      <c r="K146" s="132"/>
      <c r="L146" s="132"/>
      <c r="M146" s="132"/>
    </row>
    <row r="147" spans="1:13" ht="12.75">
      <c r="A147" s="132"/>
      <c r="B147" s="132"/>
      <c r="C147" s="132"/>
      <c r="D147" s="133" t="s">
        <v>471</v>
      </c>
      <c r="E147" s="132"/>
      <c r="F147" s="134">
        <v>-1.28</v>
      </c>
      <c r="G147" s="132"/>
      <c r="H147" s="132"/>
      <c r="I147" s="132"/>
      <c r="J147" s="132"/>
      <c r="K147" s="132"/>
      <c r="L147" s="132"/>
      <c r="M147" s="132"/>
    </row>
    <row r="148" spans="1:13" ht="12.75">
      <c r="A148" s="132"/>
      <c r="B148" s="132"/>
      <c r="C148" s="132"/>
      <c r="D148" s="133" t="s">
        <v>523</v>
      </c>
      <c r="E148" s="132"/>
      <c r="F148" s="134">
        <v>0.96</v>
      </c>
      <c r="G148" s="132"/>
      <c r="H148" s="132"/>
      <c r="I148" s="132"/>
      <c r="J148" s="132"/>
      <c r="K148" s="132"/>
      <c r="L148" s="132"/>
      <c r="M148" s="132"/>
    </row>
    <row r="149" spans="1:13" ht="12.75">
      <c r="A149" s="132"/>
      <c r="B149" s="132"/>
      <c r="C149" s="132"/>
      <c r="D149" s="133" t="s">
        <v>524</v>
      </c>
      <c r="E149" s="132"/>
      <c r="F149" s="134">
        <v>23.2</v>
      </c>
      <c r="G149" s="132"/>
      <c r="H149" s="132"/>
      <c r="I149" s="132"/>
      <c r="J149" s="132"/>
      <c r="K149" s="132"/>
      <c r="L149" s="132"/>
      <c r="M149" s="132"/>
    </row>
    <row r="150" spans="1:13" ht="12.75">
      <c r="A150" s="132"/>
      <c r="B150" s="132"/>
      <c r="C150" s="132"/>
      <c r="D150" s="133" t="s">
        <v>467</v>
      </c>
      <c r="E150" s="132"/>
      <c r="F150" s="134">
        <v>-3.13</v>
      </c>
      <c r="G150" s="132"/>
      <c r="H150" s="132"/>
      <c r="I150" s="132"/>
      <c r="J150" s="132"/>
      <c r="K150" s="132"/>
      <c r="L150" s="132"/>
      <c r="M150" s="132"/>
    </row>
    <row r="151" spans="1:13" ht="12.75">
      <c r="A151" s="132"/>
      <c r="B151" s="132"/>
      <c r="C151" s="132"/>
      <c r="D151" s="133" t="s">
        <v>525</v>
      </c>
      <c r="E151" s="132"/>
      <c r="F151" s="134">
        <v>0.75</v>
      </c>
      <c r="G151" s="132"/>
      <c r="H151" s="132"/>
      <c r="I151" s="132"/>
      <c r="J151" s="132"/>
      <c r="K151" s="132"/>
      <c r="L151" s="132"/>
      <c r="M151" s="132"/>
    </row>
    <row r="152" spans="1:13" ht="12.75">
      <c r="A152" s="132"/>
      <c r="B152" s="132"/>
      <c r="C152" s="132"/>
      <c r="D152" s="133" t="s">
        <v>468</v>
      </c>
      <c r="E152" s="132"/>
      <c r="F152" s="134">
        <v>-2.21</v>
      </c>
      <c r="G152" s="132"/>
      <c r="H152" s="132"/>
      <c r="I152" s="132"/>
      <c r="J152" s="132"/>
      <c r="K152" s="132"/>
      <c r="L152" s="132"/>
      <c r="M152" s="132"/>
    </row>
    <row r="153" spans="1:13" ht="12.75">
      <c r="A153" s="132"/>
      <c r="B153" s="132"/>
      <c r="C153" s="132"/>
      <c r="D153" s="133" t="s">
        <v>526</v>
      </c>
      <c r="E153" s="132"/>
      <c r="F153" s="134">
        <v>0.87</v>
      </c>
      <c r="G153" s="132"/>
      <c r="H153" s="132"/>
      <c r="I153" s="132"/>
      <c r="J153" s="132"/>
      <c r="K153" s="132"/>
      <c r="L153" s="132"/>
      <c r="M153" s="132"/>
    </row>
    <row r="154" spans="1:13" ht="12.75">
      <c r="A154" s="132"/>
      <c r="B154" s="132"/>
      <c r="C154" s="132"/>
      <c r="D154" s="133" t="s">
        <v>527</v>
      </c>
      <c r="E154" s="132"/>
      <c r="F154" s="134">
        <v>14.01</v>
      </c>
      <c r="G154" s="132"/>
      <c r="H154" s="132"/>
      <c r="I154" s="132"/>
      <c r="J154" s="132"/>
      <c r="K154" s="132"/>
      <c r="L154" s="132"/>
      <c r="M154" s="132"/>
    </row>
    <row r="155" spans="1:13" ht="12.75">
      <c r="A155" s="132"/>
      <c r="B155" s="132"/>
      <c r="C155" s="132"/>
      <c r="D155" s="133" t="s">
        <v>470</v>
      </c>
      <c r="E155" s="132"/>
      <c r="F155" s="134">
        <v>-3.08</v>
      </c>
      <c r="G155" s="132"/>
      <c r="H155" s="132"/>
      <c r="I155" s="132"/>
      <c r="J155" s="132"/>
      <c r="K155" s="132"/>
      <c r="L155" s="132"/>
      <c r="M155" s="132"/>
    </row>
    <row r="156" spans="1:13" ht="12.75">
      <c r="A156" s="132"/>
      <c r="B156" s="132"/>
      <c r="C156" s="132"/>
      <c r="D156" s="133" t="s">
        <v>528</v>
      </c>
      <c r="E156" s="132"/>
      <c r="F156" s="134">
        <v>0.84</v>
      </c>
      <c r="G156" s="132"/>
      <c r="H156" s="132"/>
      <c r="I156" s="132"/>
      <c r="J156" s="132"/>
      <c r="K156" s="132"/>
      <c r="L156" s="132"/>
      <c r="M156" s="132"/>
    </row>
    <row r="157" spans="1:13" ht="12.75">
      <c r="A157" s="132"/>
      <c r="B157" s="132"/>
      <c r="C157" s="132"/>
      <c r="D157" s="133" t="s">
        <v>469</v>
      </c>
      <c r="E157" s="132"/>
      <c r="F157" s="134">
        <v>-1.85</v>
      </c>
      <c r="G157" s="132"/>
      <c r="H157" s="132"/>
      <c r="I157" s="132"/>
      <c r="J157" s="132"/>
      <c r="K157" s="132"/>
      <c r="L157" s="132"/>
      <c r="M157" s="132"/>
    </row>
    <row r="158" spans="1:13" ht="12.75">
      <c r="A158" s="132"/>
      <c r="B158" s="132"/>
      <c r="C158" s="132"/>
      <c r="D158" s="133" t="s">
        <v>529</v>
      </c>
      <c r="E158" s="132"/>
      <c r="F158" s="134">
        <v>0.75</v>
      </c>
      <c r="G158" s="132"/>
      <c r="H158" s="132"/>
      <c r="I158" s="132"/>
      <c r="J158" s="132"/>
      <c r="K158" s="132"/>
      <c r="L158" s="132"/>
      <c r="M158" s="132"/>
    </row>
    <row r="159" spans="1:37" ht="12.75">
      <c r="A159" s="125"/>
      <c r="B159" s="126" t="s">
        <v>197</v>
      </c>
      <c r="C159" s="126" t="s">
        <v>68</v>
      </c>
      <c r="D159" s="126" t="s">
        <v>530</v>
      </c>
      <c r="E159" s="125" t="s">
        <v>6</v>
      </c>
      <c r="F159" s="125" t="s">
        <v>6</v>
      </c>
      <c r="G159" s="125" t="s">
        <v>6</v>
      </c>
      <c r="H159" s="127">
        <f>SUM(H160:H166)</f>
        <v>0</v>
      </c>
      <c r="I159" s="127">
        <f>SUM(I160:I166)</f>
        <v>0</v>
      </c>
      <c r="J159" s="127">
        <f>H159+I159</f>
        <v>0</v>
      </c>
      <c r="K159" s="128"/>
      <c r="L159" s="127">
        <f>SUM(L160:L166)</f>
        <v>0.004262</v>
      </c>
      <c r="M159" s="128"/>
      <c r="Y159" s="13" t="s">
        <v>197</v>
      </c>
      <c r="AI159" s="22">
        <f>SUM(Z160:Z166)</f>
        <v>0</v>
      </c>
      <c r="AJ159" s="22">
        <f>SUM(AA160:AA166)</f>
        <v>0</v>
      </c>
      <c r="AK159" s="22">
        <f>SUM(AB160:AB166)</f>
        <v>0</v>
      </c>
    </row>
    <row r="160" spans="1:48" ht="12.75">
      <c r="A160" s="129" t="s">
        <v>48</v>
      </c>
      <c r="B160" s="129" t="s">
        <v>197</v>
      </c>
      <c r="C160" s="129" t="s">
        <v>240</v>
      </c>
      <c r="D160" s="129" t="s">
        <v>531</v>
      </c>
      <c r="E160" s="129" t="s">
        <v>776</v>
      </c>
      <c r="F160" s="130">
        <v>11.55</v>
      </c>
      <c r="G160" s="130">
        <v>0</v>
      </c>
      <c r="H160" s="130">
        <f>F160*AE160</f>
        <v>0</v>
      </c>
      <c r="I160" s="130">
        <f>J160-H160</f>
        <v>0</v>
      </c>
      <c r="J160" s="130">
        <f>F160*G160</f>
        <v>0</v>
      </c>
      <c r="K160" s="130">
        <v>4E-05</v>
      </c>
      <c r="L160" s="130">
        <f>F160*K160</f>
        <v>0.00046200000000000006</v>
      </c>
      <c r="M160" s="131" t="s">
        <v>803</v>
      </c>
      <c r="P160" s="19">
        <f>IF(AG160="5",J160,0)</f>
        <v>0</v>
      </c>
      <c r="R160" s="19">
        <f>IF(AG160="1",H160,0)</f>
        <v>0</v>
      </c>
      <c r="S160" s="19">
        <f>IF(AG160="1",I160,0)</f>
        <v>0</v>
      </c>
      <c r="T160" s="19">
        <f>IF(AG160="7",H160,0)</f>
        <v>0</v>
      </c>
      <c r="U160" s="19">
        <f>IF(AG160="7",I160,0)</f>
        <v>0</v>
      </c>
      <c r="V160" s="19">
        <f>IF(AG160="2",H160,0)</f>
        <v>0</v>
      </c>
      <c r="W160" s="19">
        <f>IF(AG160="2",I160,0)</f>
        <v>0</v>
      </c>
      <c r="X160" s="19">
        <f>IF(AG160="0",J160,0)</f>
        <v>0</v>
      </c>
      <c r="Y160" s="13" t="s">
        <v>197</v>
      </c>
      <c r="Z160" s="10">
        <f>IF(AD160=0,J160,0)</f>
        <v>0</v>
      </c>
      <c r="AA160" s="10">
        <f>IF(AD160=15,J160,0)</f>
        <v>0</v>
      </c>
      <c r="AB160" s="10">
        <f>IF(AD160=21,J160,0)</f>
        <v>0</v>
      </c>
      <c r="AD160" s="19">
        <v>21</v>
      </c>
      <c r="AE160" s="19">
        <f>G160*0.320118722420677</f>
        <v>0</v>
      </c>
      <c r="AF160" s="19">
        <f>G160*(1-0.320118722420677)</f>
        <v>0</v>
      </c>
      <c r="AG160" s="15" t="s">
        <v>7</v>
      </c>
      <c r="AM160" s="19">
        <f>F160*AE160</f>
        <v>0</v>
      </c>
      <c r="AN160" s="19">
        <f>F160*AF160</f>
        <v>0</v>
      </c>
      <c r="AO160" s="20" t="s">
        <v>824</v>
      </c>
      <c r="AP160" s="20" t="s">
        <v>851</v>
      </c>
      <c r="AQ160" s="13" t="s">
        <v>859</v>
      </c>
      <c r="AS160" s="19">
        <f>AM160+AN160</f>
        <v>0</v>
      </c>
      <c r="AT160" s="19">
        <f>G160/(100-AU160)*100</f>
        <v>0</v>
      </c>
      <c r="AU160" s="19">
        <v>0</v>
      </c>
      <c r="AV160" s="19">
        <f>L160</f>
        <v>0.00046200000000000006</v>
      </c>
    </row>
    <row r="161" spans="1:13" ht="12.75">
      <c r="A161" s="132"/>
      <c r="B161" s="132"/>
      <c r="C161" s="132"/>
      <c r="D161" s="133" t="s">
        <v>532</v>
      </c>
      <c r="E161" s="132"/>
      <c r="F161" s="134">
        <v>2.21</v>
      </c>
      <c r="G161" s="132"/>
      <c r="H161" s="132"/>
      <c r="I161" s="132"/>
      <c r="J161" s="132"/>
      <c r="K161" s="132"/>
      <c r="L161" s="132"/>
      <c r="M161" s="132"/>
    </row>
    <row r="162" spans="1:13" ht="12.75">
      <c r="A162" s="132"/>
      <c r="B162" s="132"/>
      <c r="C162" s="132"/>
      <c r="D162" s="133" t="s">
        <v>533</v>
      </c>
      <c r="E162" s="132"/>
      <c r="F162" s="134">
        <v>3.13</v>
      </c>
      <c r="G162" s="132"/>
      <c r="H162" s="132"/>
      <c r="I162" s="132"/>
      <c r="J162" s="132"/>
      <c r="K162" s="132"/>
      <c r="L162" s="132"/>
      <c r="M162" s="132"/>
    </row>
    <row r="163" spans="1:13" ht="12.75">
      <c r="A163" s="132"/>
      <c r="B163" s="132"/>
      <c r="C163" s="132"/>
      <c r="D163" s="133" t="s">
        <v>534</v>
      </c>
      <c r="E163" s="132"/>
      <c r="F163" s="134">
        <v>1.85</v>
      </c>
      <c r="G163" s="132"/>
      <c r="H163" s="132"/>
      <c r="I163" s="132"/>
      <c r="J163" s="132"/>
      <c r="K163" s="132"/>
      <c r="L163" s="132"/>
      <c r="M163" s="132"/>
    </row>
    <row r="164" spans="1:13" ht="12.75">
      <c r="A164" s="132"/>
      <c r="B164" s="132"/>
      <c r="C164" s="132"/>
      <c r="D164" s="133" t="s">
        <v>535</v>
      </c>
      <c r="E164" s="132"/>
      <c r="F164" s="134">
        <v>3.08</v>
      </c>
      <c r="G164" s="132"/>
      <c r="H164" s="132"/>
      <c r="I164" s="132"/>
      <c r="J164" s="132"/>
      <c r="K164" s="132"/>
      <c r="L164" s="132"/>
      <c r="M164" s="132"/>
    </row>
    <row r="165" spans="1:13" ht="12.75">
      <c r="A165" s="132"/>
      <c r="B165" s="132"/>
      <c r="C165" s="132"/>
      <c r="D165" s="133" t="s">
        <v>536</v>
      </c>
      <c r="E165" s="132"/>
      <c r="F165" s="134">
        <v>1.28</v>
      </c>
      <c r="G165" s="132"/>
      <c r="H165" s="132"/>
      <c r="I165" s="132"/>
      <c r="J165" s="132"/>
      <c r="K165" s="132"/>
      <c r="L165" s="132"/>
      <c r="M165" s="132"/>
    </row>
    <row r="166" spans="1:48" ht="12.75">
      <c r="A166" s="135" t="s">
        <v>49</v>
      </c>
      <c r="B166" s="135" t="s">
        <v>197</v>
      </c>
      <c r="C166" s="135" t="s">
        <v>241</v>
      </c>
      <c r="D166" s="135" t="s">
        <v>537</v>
      </c>
      <c r="E166" s="135" t="s">
        <v>779</v>
      </c>
      <c r="F166" s="136">
        <v>38</v>
      </c>
      <c r="G166" s="136">
        <v>0</v>
      </c>
      <c r="H166" s="136">
        <f>F166*AE166</f>
        <v>0</v>
      </c>
      <c r="I166" s="136">
        <f>J166-H166</f>
        <v>0</v>
      </c>
      <c r="J166" s="136">
        <f>F166*G166</f>
        <v>0</v>
      </c>
      <c r="K166" s="136">
        <v>0.0001</v>
      </c>
      <c r="L166" s="136">
        <f>F166*K166</f>
        <v>0.0038</v>
      </c>
      <c r="M166" s="137" t="s">
        <v>803</v>
      </c>
      <c r="P166" s="19">
        <f>IF(AG166="5",J166,0)</f>
        <v>0</v>
      </c>
      <c r="R166" s="19">
        <f>IF(AG166="1",H166,0)</f>
        <v>0</v>
      </c>
      <c r="S166" s="19">
        <f>IF(AG166="1",I166,0)</f>
        <v>0</v>
      </c>
      <c r="T166" s="19">
        <f>IF(AG166="7",H166,0)</f>
        <v>0</v>
      </c>
      <c r="U166" s="19">
        <f>IF(AG166="7",I166,0)</f>
        <v>0</v>
      </c>
      <c r="V166" s="19">
        <f>IF(AG166="2",H166,0)</f>
        <v>0</v>
      </c>
      <c r="W166" s="19">
        <f>IF(AG166="2",I166,0)</f>
        <v>0</v>
      </c>
      <c r="X166" s="19">
        <f>IF(AG166="0",J166,0)</f>
        <v>0</v>
      </c>
      <c r="Y166" s="13" t="s">
        <v>197</v>
      </c>
      <c r="Z166" s="11">
        <f>IF(AD166=0,J166,0)</f>
        <v>0</v>
      </c>
      <c r="AA166" s="11">
        <f>IF(AD166=15,J166,0)</f>
        <v>0</v>
      </c>
      <c r="AB166" s="11">
        <f>IF(AD166=21,J166,0)</f>
        <v>0</v>
      </c>
      <c r="AD166" s="19">
        <v>21</v>
      </c>
      <c r="AE166" s="19">
        <f>G166*1</f>
        <v>0</v>
      </c>
      <c r="AF166" s="19">
        <f>G166*(1-1)</f>
        <v>0</v>
      </c>
      <c r="AG166" s="16" t="s">
        <v>7</v>
      </c>
      <c r="AM166" s="19">
        <f>F166*AE166</f>
        <v>0</v>
      </c>
      <c r="AN166" s="19">
        <f>F166*AF166</f>
        <v>0</v>
      </c>
      <c r="AO166" s="20" t="s">
        <v>824</v>
      </c>
      <c r="AP166" s="20" t="s">
        <v>851</v>
      </c>
      <c r="AQ166" s="13" t="s">
        <v>859</v>
      </c>
      <c r="AS166" s="19">
        <f>AM166+AN166</f>
        <v>0</v>
      </c>
      <c r="AT166" s="19">
        <f>G166/(100-AU166)*100</f>
        <v>0</v>
      </c>
      <c r="AU166" s="19">
        <v>0</v>
      </c>
      <c r="AV166" s="19">
        <f>L166</f>
        <v>0.0038</v>
      </c>
    </row>
    <row r="167" spans="1:37" ht="12.75">
      <c r="A167" s="125"/>
      <c r="B167" s="126" t="s">
        <v>197</v>
      </c>
      <c r="C167" s="126" t="s">
        <v>69</v>
      </c>
      <c r="D167" s="126" t="s">
        <v>538</v>
      </c>
      <c r="E167" s="125" t="s">
        <v>6</v>
      </c>
      <c r="F167" s="125" t="s">
        <v>6</v>
      </c>
      <c r="G167" s="125" t="s">
        <v>6</v>
      </c>
      <c r="H167" s="127">
        <f>SUM(H168:H173)</f>
        <v>0</v>
      </c>
      <c r="I167" s="127">
        <f>SUM(I168:I173)</f>
        <v>0</v>
      </c>
      <c r="J167" s="127">
        <f>H167+I167</f>
        <v>0</v>
      </c>
      <c r="K167" s="128"/>
      <c r="L167" s="127">
        <f>SUM(L168:L173)</f>
        <v>6.9771422</v>
      </c>
      <c r="M167" s="128"/>
      <c r="Y167" s="13" t="s">
        <v>197</v>
      </c>
      <c r="AI167" s="22">
        <f>SUM(Z168:Z173)</f>
        <v>0</v>
      </c>
      <c r="AJ167" s="22">
        <f>SUM(AA168:AA173)</f>
        <v>0</v>
      </c>
      <c r="AK167" s="22">
        <f>SUM(AB168:AB173)</f>
        <v>0</v>
      </c>
    </row>
    <row r="168" spans="1:48" ht="12.75">
      <c r="A168" s="129" t="s">
        <v>50</v>
      </c>
      <c r="B168" s="129" t="s">
        <v>197</v>
      </c>
      <c r="C168" s="129" t="s">
        <v>242</v>
      </c>
      <c r="D168" s="129" t="s">
        <v>539</v>
      </c>
      <c r="E168" s="129" t="s">
        <v>775</v>
      </c>
      <c r="F168" s="130">
        <v>2.62</v>
      </c>
      <c r="G168" s="130">
        <v>0</v>
      </c>
      <c r="H168" s="130">
        <f>F168*AE168</f>
        <v>0</v>
      </c>
      <c r="I168" s="130">
        <f>J168-H168</f>
        <v>0</v>
      </c>
      <c r="J168" s="130">
        <f>F168*G168</f>
        <v>0</v>
      </c>
      <c r="K168" s="130">
        <v>2.525</v>
      </c>
      <c r="L168" s="130">
        <f>F168*K168</f>
        <v>6.6155</v>
      </c>
      <c r="M168" s="131" t="s">
        <v>803</v>
      </c>
      <c r="P168" s="19">
        <f>IF(AG168="5",J168,0)</f>
        <v>0</v>
      </c>
      <c r="R168" s="19">
        <f>IF(AG168="1",H168,0)</f>
        <v>0</v>
      </c>
      <c r="S168" s="19">
        <f>IF(AG168="1",I168,0)</f>
        <v>0</v>
      </c>
      <c r="T168" s="19">
        <f>IF(AG168="7",H168,0)</f>
        <v>0</v>
      </c>
      <c r="U168" s="19">
        <f>IF(AG168="7",I168,0)</f>
        <v>0</v>
      </c>
      <c r="V168" s="19">
        <f>IF(AG168="2",H168,0)</f>
        <v>0</v>
      </c>
      <c r="W168" s="19">
        <f>IF(AG168="2",I168,0)</f>
        <v>0</v>
      </c>
      <c r="X168" s="19">
        <f>IF(AG168="0",J168,0)</f>
        <v>0</v>
      </c>
      <c r="Y168" s="13" t="s">
        <v>197</v>
      </c>
      <c r="Z168" s="10">
        <f>IF(AD168=0,J168,0)</f>
        <v>0</v>
      </c>
      <c r="AA168" s="10">
        <f>IF(AD168=15,J168,0)</f>
        <v>0</v>
      </c>
      <c r="AB168" s="10">
        <f>IF(AD168=21,J168,0)</f>
        <v>0</v>
      </c>
      <c r="AD168" s="19">
        <v>21</v>
      </c>
      <c r="AE168" s="19">
        <f>G168*0.656741324921136</f>
        <v>0</v>
      </c>
      <c r="AF168" s="19">
        <f>G168*(1-0.656741324921136)</f>
        <v>0</v>
      </c>
      <c r="AG168" s="15" t="s">
        <v>7</v>
      </c>
      <c r="AM168" s="19">
        <f>F168*AE168</f>
        <v>0</v>
      </c>
      <c r="AN168" s="19">
        <f>F168*AF168</f>
        <v>0</v>
      </c>
      <c r="AO168" s="20" t="s">
        <v>825</v>
      </c>
      <c r="AP168" s="20" t="s">
        <v>851</v>
      </c>
      <c r="AQ168" s="13" t="s">
        <v>859</v>
      </c>
      <c r="AS168" s="19">
        <f>AM168+AN168</f>
        <v>0</v>
      </c>
      <c r="AT168" s="19">
        <f>G168/(100-AU168)*100</f>
        <v>0</v>
      </c>
      <c r="AU168" s="19">
        <v>0</v>
      </c>
      <c r="AV168" s="19">
        <f>L168</f>
        <v>6.6155</v>
      </c>
    </row>
    <row r="169" spans="1:13" ht="12.75">
      <c r="A169" s="132"/>
      <c r="B169" s="132"/>
      <c r="C169" s="132"/>
      <c r="D169" s="133" t="s">
        <v>540</v>
      </c>
      <c r="E169" s="132"/>
      <c r="F169" s="134">
        <v>2.62</v>
      </c>
      <c r="G169" s="132"/>
      <c r="H169" s="132"/>
      <c r="I169" s="132"/>
      <c r="J169" s="132"/>
      <c r="K169" s="132"/>
      <c r="L169" s="132"/>
      <c r="M169" s="132"/>
    </row>
    <row r="170" spans="1:48" ht="12.75">
      <c r="A170" s="129" t="s">
        <v>51</v>
      </c>
      <c r="B170" s="129" t="s">
        <v>197</v>
      </c>
      <c r="C170" s="129" t="s">
        <v>243</v>
      </c>
      <c r="D170" s="129" t="s">
        <v>541</v>
      </c>
      <c r="E170" s="129" t="s">
        <v>775</v>
      </c>
      <c r="F170" s="130">
        <v>2.62</v>
      </c>
      <c r="G170" s="130">
        <v>0</v>
      </c>
      <c r="H170" s="130">
        <f>F170*AE170</f>
        <v>0</v>
      </c>
      <c r="I170" s="130">
        <f>J170-H170</f>
        <v>0</v>
      </c>
      <c r="J170" s="130">
        <f>F170*G170</f>
        <v>0</v>
      </c>
      <c r="K170" s="130">
        <v>0</v>
      </c>
      <c r="L170" s="130">
        <f>F170*K170</f>
        <v>0</v>
      </c>
      <c r="M170" s="131" t="s">
        <v>803</v>
      </c>
      <c r="P170" s="19">
        <f>IF(AG170="5",J170,0)</f>
        <v>0</v>
      </c>
      <c r="R170" s="19">
        <f>IF(AG170="1",H170,0)</f>
        <v>0</v>
      </c>
      <c r="S170" s="19">
        <f>IF(AG170="1",I170,0)</f>
        <v>0</v>
      </c>
      <c r="T170" s="19">
        <f>IF(AG170="7",H170,0)</f>
        <v>0</v>
      </c>
      <c r="U170" s="19">
        <f>IF(AG170="7",I170,0)</f>
        <v>0</v>
      </c>
      <c r="V170" s="19">
        <f>IF(AG170="2",H170,0)</f>
        <v>0</v>
      </c>
      <c r="W170" s="19">
        <f>IF(AG170="2",I170,0)</f>
        <v>0</v>
      </c>
      <c r="X170" s="19">
        <f>IF(AG170="0",J170,0)</f>
        <v>0</v>
      </c>
      <c r="Y170" s="13" t="s">
        <v>197</v>
      </c>
      <c r="Z170" s="10">
        <f>IF(AD170=0,J170,0)</f>
        <v>0</v>
      </c>
      <c r="AA170" s="10">
        <f>IF(AD170=15,J170,0)</f>
        <v>0</v>
      </c>
      <c r="AB170" s="10">
        <f>IF(AD170=21,J170,0)</f>
        <v>0</v>
      </c>
      <c r="AD170" s="19">
        <v>21</v>
      </c>
      <c r="AE170" s="19">
        <f>G170*0</f>
        <v>0</v>
      </c>
      <c r="AF170" s="19">
        <f>G170*(1-0)</f>
        <v>0</v>
      </c>
      <c r="AG170" s="15" t="s">
        <v>7</v>
      </c>
      <c r="AM170" s="19">
        <f>F170*AE170</f>
        <v>0</v>
      </c>
      <c r="AN170" s="19">
        <f>F170*AF170</f>
        <v>0</v>
      </c>
      <c r="AO170" s="20" t="s">
        <v>825</v>
      </c>
      <c r="AP170" s="20" t="s">
        <v>851</v>
      </c>
      <c r="AQ170" s="13" t="s">
        <v>859</v>
      </c>
      <c r="AS170" s="19">
        <f>AM170+AN170</f>
        <v>0</v>
      </c>
      <c r="AT170" s="19">
        <f>G170/(100-AU170)*100</f>
        <v>0</v>
      </c>
      <c r="AU170" s="19">
        <v>0</v>
      </c>
      <c r="AV170" s="19">
        <f>L170</f>
        <v>0</v>
      </c>
    </row>
    <row r="171" spans="1:48" ht="12.75">
      <c r="A171" s="129" t="s">
        <v>52</v>
      </c>
      <c r="B171" s="129" t="s">
        <v>197</v>
      </c>
      <c r="C171" s="129" t="s">
        <v>244</v>
      </c>
      <c r="D171" s="129" t="s">
        <v>542</v>
      </c>
      <c r="E171" s="129" t="s">
        <v>778</v>
      </c>
      <c r="F171" s="130">
        <v>0.12</v>
      </c>
      <c r="G171" s="130">
        <v>0</v>
      </c>
      <c r="H171" s="130">
        <f>F171*AE171</f>
        <v>0</v>
      </c>
      <c r="I171" s="130">
        <f>J171-H171</f>
        <v>0</v>
      </c>
      <c r="J171" s="130">
        <f>F171*G171</f>
        <v>0</v>
      </c>
      <c r="K171" s="130">
        <v>1.06625</v>
      </c>
      <c r="L171" s="130">
        <f>F171*K171</f>
        <v>0.12794999999999998</v>
      </c>
      <c r="M171" s="131" t="s">
        <v>803</v>
      </c>
      <c r="P171" s="19">
        <f>IF(AG171="5",J171,0)</f>
        <v>0</v>
      </c>
      <c r="R171" s="19">
        <f>IF(AG171="1",H171,0)</f>
        <v>0</v>
      </c>
      <c r="S171" s="19">
        <f>IF(AG171="1",I171,0)</f>
        <v>0</v>
      </c>
      <c r="T171" s="19">
        <f>IF(AG171="7",H171,0)</f>
        <v>0</v>
      </c>
      <c r="U171" s="19">
        <f>IF(AG171="7",I171,0)</f>
        <v>0</v>
      </c>
      <c r="V171" s="19">
        <f>IF(AG171="2",H171,0)</f>
        <v>0</v>
      </c>
      <c r="W171" s="19">
        <f>IF(AG171="2",I171,0)</f>
        <v>0</v>
      </c>
      <c r="X171" s="19">
        <f>IF(AG171="0",J171,0)</f>
        <v>0</v>
      </c>
      <c r="Y171" s="13" t="s">
        <v>197</v>
      </c>
      <c r="Z171" s="10">
        <f>IF(AD171=0,J171,0)</f>
        <v>0</v>
      </c>
      <c r="AA171" s="10">
        <f>IF(AD171=15,J171,0)</f>
        <v>0</v>
      </c>
      <c r="AB171" s="10">
        <f>IF(AD171=21,J171,0)</f>
        <v>0</v>
      </c>
      <c r="AD171" s="19">
        <v>21</v>
      </c>
      <c r="AE171" s="19">
        <f>G171*0.813754385964912</f>
        <v>0</v>
      </c>
      <c r="AF171" s="19">
        <f>G171*(1-0.813754385964912)</f>
        <v>0</v>
      </c>
      <c r="AG171" s="15" t="s">
        <v>7</v>
      </c>
      <c r="AM171" s="19">
        <f>F171*AE171</f>
        <v>0</v>
      </c>
      <c r="AN171" s="19">
        <f>F171*AF171</f>
        <v>0</v>
      </c>
      <c r="AO171" s="20" t="s">
        <v>825</v>
      </c>
      <c r="AP171" s="20" t="s">
        <v>851</v>
      </c>
      <c r="AQ171" s="13" t="s">
        <v>859</v>
      </c>
      <c r="AS171" s="19">
        <f>AM171+AN171</f>
        <v>0</v>
      </c>
      <c r="AT171" s="19">
        <f>G171/(100-AU171)*100</f>
        <v>0</v>
      </c>
      <c r="AU171" s="19">
        <v>0</v>
      </c>
      <c r="AV171" s="19">
        <f>L171</f>
        <v>0.12794999999999998</v>
      </c>
    </row>
    <row r="172" spans="1:13" ht="12.75">
      <c r="A172" s="132"/>
      <c r="B172" s="132"/>
      <c r="C172" s="132"/>
      <c r="D172" s="133" t="s">
        <v>543</v>
      </c>
      <c r="E172" s="132"/>
      <c r="F172" s="134">
        <v>0.12</v>
      </c>
      <c r="G172" s="132"/>
      <c r="H172" s="132"/>
      <c r="I172" s="132"/>
      <c r="J172" s="132"/>
      <c r="K172" s="132"/>
      <c r="L172" s="132"/>
      <c r="M172" s="132"/>
    </row>
    <row r="173" spans="1:48" ht="12.75">
      <c r="A173" s="129" t="s">
        <v>53</v>
      </c>
      <c r="B173" s="129" t="s">
        <v>197</v>
      </c>
      <c r="C173" s="129" t="s">
        <v>245</v>
      </c>
      <c r="D173" s="129" t="s">
        <v>544</v>
      </c>
      <c r="E173" s="129" t="s">
        <v>776</v>
      </c>
      <c r="F173" s="130">
        <v>32.73</v>
      </c>
      <c r="G173" s="130">
        <v>0</v>
      </c>
      <c r="H173" s="130">
        <f>F173*AE173</f>
        <v>0</v>
      </c>
      <c r="I173" s="130">
        <f>J173-H173</f>
        <v>0</v>
      </c>
      <c r="J173" s="130">
        <f>F173*G173</f>
        <v>0</v>
      </c>
      <c r="K173" s="130">
        <v>0.00714</v>
      </c>
      <c r="L173" s="130">
        <f>F173*K173</f>
        <v>0.23369219999999996</v>
      </c>
      <c r="M173" s="131" t="s">
        <v>803</v>
      </c>
      <c r="P173" s="19">
        <f>IF(AG173="5",J173,0)</f>
        <v>0</v>
      </c>
      <c r="R173" s="19">
        <f>IF(AG173="1",H173,0)</f>
        <v>0</v>
      </c>
      <c r="S173" s="19">
        <f>IF(AG173="1",I173,0)</f>
        <v>0</v>
      </c>
      <c r="T173" s="19">
        <f>IF(AG173="7",H173,0)</f>
        <v>0</v>
      </c>
      <c r="U173" s="19">
        <f>IF(AG173="7",I173,0)</f>
        <v>0</v>
      </c>
      <c r="V173" s="19">
        <f>IF(AG173="2",H173,0)</f>
        <v>0</v>
      </c>
      <c r="W173" s="19">
        <f>IF(AG173="2",I173,0)</f>
        <v>0</v>
      </c>
      <c r="X173" s="19">
        <f>IF(AG173="0",J173,0)</f>
        <v>0</v>
      </c>
      <c r="Y173" s="13" t="s">
        <v>197</v>
      </c>
      <c r="Z173" s="10">
        <f>IF(AD173=0,J173,0)</f>
        <v>0</v>
      </c>
      <c r="AA173" s="10">
        <f>IF(AD173=15,J173,0)</f>
        <v>0</v>
      </c>
      <c r="AB173" s="10">
        <f>IF(AD173=21,J173,0)</f>
        <v>0</v>
      </c>
      <c r="AD173" s="19">
        <v>21</v>
      </c>
      <c r="AE173" s="19">
        <f>G173*0.586419015766842</f>
        <v>0</v>
      </c>
      <c r="AF173" s="19">
        <f>G173*(1-0.586419015766842)</f>
        <v>0</v>
      </c>
      <c r="AG173" s="15" t="s">
        <v>7</v>
      </c>
      <c r="AM173" s="19">
        <f>F173*AE173</f>
        <v>0</v>
      </c>
      <c r="AN173" s="19">
        <f>F173*AF173</f>
        <v>0</v>
      </c>
      <c r="AO173" s="20" t="s">
        <v>825</v>
      </c>
      <c r="AP173" s="20" t="s">
        <v>851</v>
      </c>
      <c r="AQ173" s="13" t="s">
        <v>859</v>
      </c>
      <c r="AS173" s="19">
        <f>AM173+AN173</f>
        <v>0</v>
      </c>
      <c r="AT173" s="19">
        <f>G173/(100-AU173)*100</f>
        <v>0</v>
      </c>
      <c r="AU173" s="19">
        <v>0</v>
      </c>
      <c r="AV173" s="19">
        <f>L173</f>
        <v>0.23369219999999996</v>
      </c>
    </row>
    <row r="174" spans="1:37" ht="12.75">
      <c r="A174" s="125"/>
      <c r="B174" s="126" t="s">
        <v>197</v>
      </c>
      <c r="C174" s="126" t="s">
        <v>70</v>
      </c>
      <c r="D174" s="126" t="s">
        <v>545</v>
      </c>
      <c r="E174" s="125" t="s">
        <v>6</v>
      </c>
      <c r="F174" s="125" t="s">
        <v>6</v>
      </c>
      <c r="G174" s="125" t="s">
        <v>6</v>
      </c>
      <c r="H174" s="127">
        <f>SUM(H175:H176)</f>
        <v>0</v>
      </c>
      <c r="I174" s="127">
        <f>SUM(I175:I176)</f>
        <v>0</v>
      </c>
      <c r="J174" s="127">
        <f>H174+I174</f>
        <v>0</v>
      </c>
      <c r="K174" s="128"/>
      <c r="L174" s="127">
        <f>SUM(L175:L176)</f>
        <v>0.0688</v>
      </c>
      <c r="M174" s="128"/>
      <c r="Y174" s="13" t="s">
        <v>197</v>
      </c>
      <c r="AI174" s="22">
        <f>SUM(Z175:Z176)</f>
        <v>0</v>
      </c>
      <c r="AJ174" s="22">
        <f>SUM(AA175:AA176)</f>
        <v>0</v>
      </c>
      <c r="AK174" s="22">
        <f>SUM(AB175:AB176)</f>
        <v>0</v>
      </c>
    </row>
    <row r="175" spans="1:48" ht="12.75">
      <c r="A175" s="129" t="s">
        <v>54</v>
      </c>
      <c r="B175" s="129" t="s">
        <v>197</v>
      </c>
      <c r="C175" s="129" t="s">
        <v>246</v>
      </c>
      <c r="D175" s="129" t="s">
        <v>546</v>
      </c>
      <c r="E175" s="129" t="s">
        <v>777</v>
      </c>
      <c r="F175" s="130">
        <v>2</v>
      </c>
      <c r="G175" s="130">
        <v>0</v>
      </c>
      <c r="H175" s="130">
        <f>F175*AE175</f>
        <v>0</v>
      </c>
      <c r="I175" s="130">
        <f>J175-H175</f>
        <v>0</v>
      </c>
      <c r="J175" s="130">
        <f>F175*G175</f>
        <v>0</v>
      </c>
      <c r="K175" s="130">
        <v>0.03055</v>
      </c>
      <c r="L175" s="130">
        <f>F175*K175</f>
        <v>0.0611</v>
      </c>
      <c r="M175" s="131" t="s">
        <v>803</v>
      </c>
      <c r="P175" s="19">
        <f>IF(AG175="5",J175,0)</f>
        <v>0</v>
      </c>
      <c r="R175" s="19">
        <f>IF(AG175="1",H175,0)</f>
        <v>0</v>
      </c>
      <c r="S175" s="19">
        <f>IF(AG175="1",I175,0)</f>
        <v>0</v>
      </c>
      <c r="T175" s="19">
        <f>IF(AG175="7",H175,0)</f>
        <v>0</v>
      </c>
      <c r="U175" s="19">
        <f>IF(AG175="7",I175,0)</f>
        <v>0</v>
      </c>
      <c r="V175" s="19">
        <f>IF(AG175="2",H175,0)</f>
        <v>0</v>
      </c>
      <c r="W175" s="19">
        <f>IF(AG175="2",I175,0)</f>
        <v>0</v>
      </c>
      <c r="X175" s="19">
        <f>IF(AG175="0",J175,0)</f>
        <v>0</v>
      </c>
      <c r="Y175" s="13" t="s">
        <v>197</v>
      </c>
      <c r="Z175" s="10">
        <f>IF(AD175=0,J175,0)</f>
        <v>0</v>
      </c>
      <c r="AA175" s="10">
        <f>IF(AD175=15,J175,0)</f>
        <v>0</v>
      </c>
      <c r="AB175" s="10">
        <f>IF(AD175=21,J175,0)</f>
        <v>0</v>
      </c>
      <c r="AD175" s="19">
        <v>21</v>
      </c>
      <c r="AE175" s="19">
        <f>G175*0.507271523178808</f>
        <v>0</v>
      </c>
      <c r="AF175" s="19">
        <f>G175*(1-0.507271523178808)</f>
        <v>0</v>
      </c>
      <c r="AG175" s="15" t="s">
        <v>7</v>
      </c>
      <c r="AM175" s="19">
        <f>F175*AE175</f>
        <v>0</v>
      </c>
      <c r="AN175" s="19">
        <f>F175*AF175</f>
        <v>0</v>
      </c>
      <c r="AO175" s="20" t="s">
        <v>826</v>
      </c>
      <c r="AP175" s="20" t="s">
        <v>851</v>
      </c>
      <c r="AQ175" s="13" t="s">
        <v>859</v>
      </c>
      <c r="AS175" s="19">
        <f>AM175+AN175</f>
        <v>0</v>
      </c>
      <c r="AT175" s="19">
        <f>G175/(100-AU175)*100</f>
        <v>0</v>
      </c>
      <c r="AU175" s="19">
        <v>0</v>
      </c>
      <c r="AV175" s="19">
        <f>L175</f>
        <v>0.0611</v>
      </c>
    </row>
    <row r="176" spans="1:48" ht="12.75">
      <c r="A176" s="129" t="s">
        <v>55</v>
      </c>
      <c r="B176" s="129" t="s">
        <v>197</v>
      </c>
      <c r="C176" s="129" t="s">
        <v>247</v>
      </c>
      <c r="D176" s="129" t="s">
        <v>547</v>
      </c>
      <c r="E176" s="129" t="s">
        <v>779</v>
      </c>
      <c r="F176" s="130">
        <v>1.25</v>
      </c>
      <c r="G176" s="130">
        <v>0</v>
      </c>
      <c r="H176" s="130">
        <f>F176*AE176</f>
        <v>0</v>
      </c>
      <c r="I176" s="130">
        <f>J176-H176</f>
        <v>0</v>
      </c>
      <c r="J176" s="130">
        <f>F176*G176</f>
        <v>0</v>
      </c>
      <c r="K176" s="130">
        <v>0.00616</v>
      </c>
      <c r="L176" s="130">
        <f>F176*K176</f>
        <v>0.007699999999999999</v>
      </c>
      <c r="M176" s="131" t="s">
        <v>803</v>
      </c>
      <c r="P176" s="19">
        <f>IF(AG176="5",J176,0)</f>
        <v>0</v>
      </c>
      <c r="R176" s="19">
        <f>IF(AG176="1",H176,0)</f>
        <v>0</v>
      </c>
      <c r="S176" s="19">
        <f>IF(AG176="1",I176,0)</f>
        <v>0</v>
      </c>
      <c r="T176" s="19">
        <f>IF(AG176="7",H176,0)</f>
        <v>0</v>
      </c>
      <c r="U176" s="19">
        <f>IF(AG176="7",I176,0)</f>
        <v>0</v>
      </c>
      <c r="V176" s="19">
        <f>IF(AG176="2",H176,0)</f>
        <v>0</v>
      </c>
      <c r="W176" s="19">
        <f>IF(AG176="2",I176,0)</f>
        <v>0</v>
      </c>
      <c r="X176" s="19">
        <f>IF(AG176="0",J176,0)</f>
        <v>0</v>
      </c>
      <c r="Y176" s="13" t="s">
        <v>197</v>
      </c>
      <c r="Z176" s="10">
        <f>IF(AD176=0,J176,0)</f>
        <v>0</v>
      </c>
      <c r="AA176" s="10">
        <f>IF(AD176=15,J176,0)</f>
        <v>0</v>
      </c>
      <c r="AB176" s="10">
        <f>IF(AD176=21,J176,0)</f>
        <v>0</v>
      </c>
      <c r="AD176" s="19">
        <v>21</v>
      </c>
      <c r="AE176" s="19">
        <f>G176*0.519885714285714</f>
        <v>0</v>
      </c>
      <c r="AF176" s="19">
        <f>G176*(1-0.519885714285714)</f>
        <v>0</v>
      </c>
      <c r="AG176" s="15" t="s">
        <v>7</v>
      </c>
      <c r="AM176" s="19">
        <f>F176*AE176</f>
        <v>0</v>
      </c>
      <c r="AN176" s="19">
        <f>F176*AF176</f>
        <v>0</v>
      </c>
      <c r="AO176" s="20" t="s">
        <v>826</v>
      </c>
      <c r="AP176" s="20" t="s">
        <v>851</v>
      </c>
      <c r="AQ176" s="13" t="s">
        <v>859</v>
      </c>
      <c r="AS176" s="19">
        <f>AM176+AN176</f>
        <v>0</v>
      </c>
      <c r="AT176" s="19">
        <f>G176/(100-AU176)*100</f>
        <v>0</v>
      </c>
      <c r="AU176" s="19">
        <v>0</v>
      </c>
      <c r="AV176" s="19">
        <f>L176</f>
        <v>0.007699999999999999</v>
      </c>
    </row>
    <row r="177" spans="1:13" ht="12.75">
      <c r="A177" s="132"/>
      <c r="B177" s="132"/>
      <c r="C177" s="132"/>
      <c r="D177" s="133" t="s">
        <v>548</v>
      </c>
      <c r="E177" s="132"/>
      <c r="F177" s="134">
        <v>1.25</v>
      </c>
      <c r="G177" s="132"/>
      <c r="H177" s="132"/>
      <c r="I177" s="132"/>
      <c r="J177" s="132"/>
      <c r="K177" s="132"/>
      <c r="L177" s="132"/>
      <c r="M177" s="132"/>
    </row>
    <row r="178" spans="1:37" ht="12.75">
      <c r="A178" s="125"/>
      <c r="B178" s="126" t="s">
        <v>197</v>
      </c>
      <c r="C178" s="126" t="s">
        <v>248</v>
      </c>
      <c r="D178" s="126" t="s">
        <v>549</v>
      </c>
      <c r="E178" s="125" t="s">
        <v>6</v>
      </c>
      <c r="F178" s="125" t="s">
        <v>6</v>
      </c>
      <c r="G178" s="125" t="s">
        <v>6</v>
      </c>
      <c r="H178" s="127">
        <f>SUM(H179:H198)</f>
        <v>0</v>
      </c>
      <c r="I178" s="127">
        <f>SUM(I179:I198)</f>
        <v>0</v>
      </c>
      <c r="J178" s="127">
        <f>H178+I178</f>
        <v>0</v>
      </c>
      <c r="K178" s="128"/>
      <c r="L178" s="127">
        <f>SUM(L179:L198)</f>
        <v>0.33897510000000003</v>
      </c>
      <c r="M178" s="128"/>
      <c r="Y178" s="13" t="s">
        <v>197</v>
      </c>
      <c r="AI178" s="22">
        <f>SUM(Z179:Z198)</f>
        <v>0</v>
      </c>
      <c r="AJ178" s="22">
        <f>SUM(AA179:AA198)</f>
        <v>0</v>
      </c>
      <c r="AK178" s="22">
        <f>SUM(AB179:AB198)</f>
        <v>0</v>
      </c>
    </row>
    <row r="179" spans="1:48" ht="12.75">
      <c r="A179" s="129" t="s">
        <v>56</v>
      </c>
      <c r="B179" s="129" t="s">
        <v>197</v>
      </c>
      <c r="C179" s="129" t="s">
        <v>249</v>
      </c>
      <c r="D179" s="129" t="s">
        <v>550</v>
      </c>
      <c r="E179" s="129" t="s">
        <v>776</v>
      </c>
      <c r="F179" s="130">
        <v>5.25</v>
      </c>
      <c r="G179" s="130">
        <v>0</v>
      </c>
      <c r="H179" s="130">
        <f>F179*AE179</f>
        <v>0</v>
      </c>
      <c r="I179" s="130">
        <f>J179-H179</f>
        <v>0</v>
      </c>
      <c r="J179" s="130">
        <f>F179*G179</f>
        <v>0</v>
      </c>
      <c r="K179" s="130">
        <v>0.00483</v>
      </c>
      <c r="L179" s="130">
        <f>F179*K179</f>
        <v>0.0253575</v>
      </c>
      <c r="M179" s="131" t="s">
        <v>803</v>
      </c>
      <c r="P179" s="19">
        <f>IF(AG179="5",J179,0)</f>
        <v>0</v>
      </c>
      <c r="R179" s="19">
        <f>IF(AG179="1",H179,0)</f>
        <v>0</v>
      </c>
      <c r="S179" s="19">
        <f>IF(AG179="1",I179,0)</f>
        <v>0</v>
      </c>
      <c r="T179" s="19">
        <f>IF(AG179="7",H179,0)</f>
        <v>0</v>
      </c>
      <c r="U179" s="19">
        <f>IF(AG179="7",I179,0)</f>
        <v>0</v>
      </c>
      <c r="V179" s="19">
        <f>IF(AG179="2",H179,0)</f>
        <v>0</v>
      </c>
      <c r="W179" s="19">
        <f>IF(AG179="2",I179,0)</f>
        <v>0</v>
      </c>
      <c r="X179" s="19">
        <f>IF(AG179="0",J179,0)</f>
        <v>0</v>
      </c>
      <c r="Y179" s="13" t="s">
        <v>197</v>
      </c>
      <c r="Z179" s="10">
        <f>IF(AD179=0,J179,0)</f>
        <v>0</v>
      </c>
      <c r="AA179" s="10">
        <f>IF(AD179=15,J179,0)</f>
        <v>0</v>
      </c>
      <c r="AB179" s="10">
        <f>IF(AD179=21,J179,0)</f>
        <v>0</v>
      </c>
      <c r="AD179" s="19">
        <v>21</v>
      </c>
      <c r="AE179" s="19">
        <f>G179*0.862049180327869</f>
        <v>0</v>
      </c>
      <c r="AF179" s="19">
        <f>G179*(1-0.862049180327869)</f>
        <v>0</v>
      </c>
      <c r="AG179" s="15" t="s">
        <v>13</v>
      </c>
      <c r="AM179" s="19">
        <f>F179*AE179</f>
        <v>0</v>
      </c>
      <c r="AN179" s="19">
        <f>F179*AF179</f>
        <v>0</v>
      </c>
      <c r="AO179" s="20" t="s">
        <v>827</v>
      </c>
      <c r="AP179" s="20" t="s">
        <v>852</v>
      </c>
      <c r="AQ179" s="13" t="s">
        <v>859</v>
      </c>
      <c r="AS179" s="19">
        <f>AM179+AN179</f>
        <v>0</v>
      </c>
      <c r="AT179" s="19">
        <f>G179/(100-AU179)*100</f>
        <v>0</v>
      </c>
      <c r="AU179" s="19">
        <v>0</v>
      </c>
      <c r="AV179" s="19">
        <f>L179</f>
        <v>0.0253575</v>
      </c>
    </row>
    <row r="180" spans="1:13" ht="12.75">
      <c r="A180" s="132"/>
      <c r="B180" s="132"/>
      <c r="C180" s="132"/>
      <c r="D180" s="133" t="s">
        <v>551</v>
      </c>
      <c r="E180" s="132"/>
      <c r="F180" s="134">
        <v>5.25</v>
      </c>
      <c r="G180" s="132"/>
      <c r="H180" s="132"/>
      <c r="I180" s="132"/>
      <c r="J180" s="132"/>
      <c r="K180" s="132"/>
      <c r="L180" s="132"/>
      <c r="M180" s="132"/>
    </row>
    <row r="181" spans="1:48" ht="12.75">
      <c r="A181" s="129" t="s">
        <v>57</v>
      </c>
      <c r="B181" s="129" t="s">
        <v>197</v>
      </c>
      <c r="C181" s="129" t="s">
        <v>250</v>
      </c>
      <c r="D181" s="129" t="s">
        <v>552</v>
      </c>
      <c r="E181" s="129" t="s">
        <v>776</v>
      </c>
      <c r="F181" s="130">
        <v>8.42</v>
      </c>
      <c r="G181" s="130">
        <v>0</v>
      </c>
      <c r="H181" s="130">
        <f>F181*AE181</f>
        <v>0</v>
      </c>
      <c r="I181" s="130">
        <f>J181-H181</f>
        <v>0</v>
      </c>
      <c r="J181" s="130">
        <f>F181*G181</f>
        <v>0</v>
      </c>
      <c r="K181" s="130">
        <v>0.00023</v>
      </c>
      <c r="L181" s="130">
        <f>F181*K181</f>
        <v>0.0019366000000000001</v>
      </c>
      <c r="M181" s="131" t="s">
        <v>803</v>
      </c>
      <c r="P181" s="19">
        <f>IF(AG181="5",J181,0)</f>
        <v>0</v>
      </c>
      <c r="R181" s="19">
        <f>IF(AG181="1",H181,0)</f>
        <v>0</v>
      </c>
      <c r="S181" s="19">
        <f>IF(AG181="1",I181,0)</f>
        <v>0</v>
      </c>
      <c r="T181" s="19">
        <f>IF(AG181="7",H181,0)</f>
        <v>0</v>
      </c>
      <c r="U181" s="19">
        <f>IF(AG181="7",I181,0)</f>
        <v>0</v>
      </c>
      <c r="V181" s="19">
        <f>IF(AG181="2",H181,0)</f>
        <v>0</v>
      </c>
      <c r="W181" s="19">
        <f>IF(AG181="2",I181,0)</f>
        <v>0</v>
      </c>
      <c r="X181" s="19">
        <f>IF(AG181="0",J181,0)</f>
        <v>0</v>
      </c>
      <c r="Y181" s="13" t="s">
        <v>197</v>
      </c>
      <c r="Z181" s="10">
        <f>IF(AD181=0,J181,0)</f>
        <v>0</v>
      </c>
      <c r="AA181" s="10">
        <f>IF(AD181=15,J181,0)</f>
        <v>0</v>
      </c>
      <c r="AB181" s="10">
        <f>IF(AD181=21,J181,0)</f>
        <v>0</v>
      </c>
      <c r="AD181" s="19">
        <v>21</v>
      </c>
      <c r="AE181" s="19">
        <f>G181*0.298091491768254</f>
        <v>0</v>
      </c>
      <c r="AF181" s="19">
        <f>G181*(1-0.298091491768254)</f>
        <v>0</v>
      </c>
      <c r="AG181" s="15" t="s">
        <v>13</v>
      </c>
      <c r="AM181" s="19">
        <f>F181*AE181</f>
        <v>0</v>
      </c>
      <c r="AN181" s="19">
        <f>F181*AF181</f>
        <v>0</v>
      </c>
      <c r="AO181" s="20" t="s">
        <v>827</v>
      </c>
      <c r="AP181" s="20" t="s">
        <v>852</v>
      </c>
      <c r="AQ181" s="13" t="s">
        <v>859</v>
      </c>
      <c r="AS181" s="19">
        <f>AM181+AN181</f>
        <v>0</v>
      </c>
      <c r="AT181" s="19">
        <f>G181/(100-AU181)*100</f>
        <v>0</v>
      </c>
      <c r="AU181" s="19">
        <v>0</v>
      </c>
      <c r="AV181" s="19">
        <f>L181</f>
        <v>0.0019366000000000001</v>
      </c>
    </row>
    <row r="182" spans="1:13" ht="12.75">
      <c r="A182" s="132"/>
      <c r="B182" s="132"/>
      <c r="C182" s="132"/>
      <c r="D182" s="133" t="s">
        <v>553</v>
      </c>
      <c r="E182" s="132"/>
      <c r="F182" s="134">
        <v>8.42</v>
      </c>
      <c r="G182" s="132"/>
      <c r="H182" s="132"/>
      <c r="I182" s="132"/>
      <c r="J182" s="132"/>
      <c r="K182" s="132"/>
      <c r="L182" s="132"/>
      <c r="M182" s="132"/>
    </row>
    <row r="183" spans="1:48" ht="12.75">
      <c r="A183" s="129" t="s">
        <v>58</v>
      </c>
      <c r="B183" s="129" t="s">
        <v>197</v>
      </c>
      <c r="C183" s="129" t="s">
        <v>251</v>
      </c>
      <c r="D183" s="129" t="s">
        <v>554</v>
      </c>
      <c r="E183" s="129" t="s">
        <v>776</v>
      </c>
      <c r="F183" s="130">
        <v>40.4</v>
      </c>
      <c r="G183" s="130">
        <v>0</v>
      </c>
      <c r="H183" s="130">
        <f>F183*AE183</f>
        <v>0</v>
      </c>
      <c r="I183" s="130">
        <f>J183-H183</f>
        <v>0</v>
      </c>
      <c r="J183" s="130">
        <f>F183*G183</f>
        <v>0</v>
      </c>
      <c r="K183" s="130">
        <v>0.00033</v>
      </c>
      <c r="L183" s="130">
        <f>F183*K183</f>
        <v>0.013332</v>
      </c>
      <c r="M183" s="131" t="s">
        <v>803</v>
      </c>
      <c r="P183" s="19">
        <f>IF(AG183="5",J183,0)</f>
        <v>0</v>
      </c>
      <c r="R183" s="19">
        <f>IF(AG183="1",H183,0)</f>
        <v>0</v>
      </c>
      <c r="S183" s="19">
        <f>IF(AG183="1",I183,0)</f>
        <v>0</v>
      </c>
      <c r="T183" s="19">
        <f>IF(AG183="7",H183,0)</f>
        <v>0</v>
      </c>
      <c r="U183" s="19">
        <f>IF(AG183="7",I183,0)</f>
        <v>0</v>
      </c>
      <c r="V183" s="19">
        <f>IF(AG183="2",H183,0)</f>
        <v>0</v>
      </c>
      <c r="W183" s="19">
        <f>IF(AG183="2",I183,0)</f>
        <v>0</v>
      </c>
      <c r="X183" s="19">
        <f>IF(AG183="0",J183,0)</f>
        <v>0</v>
      </c>
      <c r="Y183" s="13" t="s">
        <v>197</v>
      </c>
      <c r="Z183" s="10">
        <f>IF(AD183=0,J183,0)</f>
        <v>0</v>
      </c>
      <c r="AA183" s="10">
        <f>IF(AD183=15,J183,0)</f>
        <v>0</v>
      </c>
      <c r="AB183" s="10">
        <f>IF(AD183=21,J183,0)</f>
        <v>0</v>
      </c>
      <c r="AD183" s="19">
        <v>21</v>
      </c>
      <c r="AE183" s="19">
        <f>G183*0.559682183966589</f>
        <v>0</v>
      </c>
      <c r="AF183" s="19">
        <f>G183*(1-0.559682183966589)</f>
        <v>0</v>
      </c>
      <c r="AG183" s="15" t="s">
        <v>13</v>
      </c>
      <c r="AM183" s="19">
        <f>F183*AE183</f>
        <v>0</v>
      </c>
      <c r="AN183" s="19">
        <f>F183*AF183</f>
        <v>0</v>
      </c>
      <c r="AO183" s="20" t="s">
        <v>827</v>
      </c>
      <c r="AP183" s="20" t="s">
        <v>852</v>
      </c>
      <c r="AQ183" s="13" t="s">
        <v>859</v>
      </c>
      <c r="AS183" s="19">
        <f>AM183+AN183</f>
        <v>0</v>
      </c>
      <c r="AT183" s="19">
        <f>G183/(100-AU183)*100</f>
        <v>0</v>
      </c>
      <c r="AU183" s="19">
        <v>0</v>
      </c>
      <c r="AV183" s="19">
        <f>L183</f>
        <v>0.013332</v>
      </c>
    </row>
    <row r="184" spans="1:13" ht="12.75">
      <c r="A184" s="132"/>
      <c r="B184" s="132"/>
      <c r="C184" s="132"/>
      <c r="D184" s="133" t="s">
        <v>555</v>
      </c>
      <c r="E184" s="132"/>
      <c r="F184" s="134">
        <v>40.4</v>
      </c>
      <c r="G184" s="132"/>
      <c r="H184" s="132"/>
      <c r="I184" s="132"/>
      <c r="J184" s="132"/>
      <c r="K184" s="132"/>
      <c r="L184" s="132"/>
      <c r="M184" s="132"/>
    </row>
    <row r="185" spans="1:48" ht="12.75">
      <c r="A185" s="129" t="s">
        <v>59</v>
      </c>
      <c r="B185" s="129" t="s">
        <v>197</v>
      </c>
      <c r="C185" s="129" t="s">
        <v>252</v>
      </c>
      <c r="D185" s="129" t="s">
        <v>556</v>
      </c>
      <c r="E185" s="129" t="s">
        <v>776</v>
      </c>
      <c r="F185" s="130">
        <v>8.42</v>
      </c>
      <c r="G185" s="130">
        <v>0</v>
      </c>
      <c r="H185" s="130">
        <f>F185*AE185</f>
        <v>0</v>
      </c>
      <c r="I185" s="130">
        <f>J185-H185</f>
        <v>0</v>
      </c>
      <c r="J185" s="130">
        <f>F185*G185</f>
        <v>0</v>
      </c>
      <c r="K185" s="130">
        <v>0.00017</v>
      </c>
      <c r="L185" s="130">
        <f>F185*K185</f>
        <v>0.0014314</v>
      </c>
      <c r="M185" s="131" t="s">
        <v>803</v>
      </c>
      <c r="P185" s="19">
        <f>IF(AG185="5",J185,0)</f>
        <v>0</v>
      </c>
      <c r="R185" s="19">
        <f>IF(AG185="1",H185,0)</f>
        <v>0</v>
      </c>
      <c r="S185" s="19">
        <f>IF(AG185="1",I185,0)</f>
        <v>0</v>
      </c>
      <c r="T185" s="19">
        <f>IF(AG185="7",H185,0)</f>
        <v>0</v>
      </c>
      <c r="U185" s="19">
        <f>IF(AG185="7",I185,0)</f>
        <v>0</v>
      </c>
      <c r="V185" s="19">
        <f>IF(AG185="2",H185,0)</f>
        <v>0</v>
      </c>
      <c r="W185" s="19">
        <f>IF(AG185="2",I185,0)</f>
        <v>0</v>
      </c>
      <c r="X185" s="19">
        <f>IF(AG185="0",J185,0)</f>
        <v>0</v>
      </c>
      <c r="Y185" s="13" t="s">
        <v>197</v>
      </c>
      <c r="Z185" s="10">
        <f>IF(AD185=0,J185,0)</f>
        <v>0</v>
      </c>
      <c r="AA185" s="10">
        <f>IF(AD185=15,J185,0)</f>
        <v>0</v>
      </c>
      <c r="AB185" s="10">
        <f>IF(AD185=21,J185,0)</f>
        <v>0</v>
      </c>
      <c r="AD185" s="19">
        <v>21</v>
      </c>
      <c r="AE185" s="19">
        <f>G185*0.177170833333333</f>
        <v>0</v>
      </c>
      <c r="AF185" s="19">
        <f>G185*(1-0.177170833333333)</f>
        <v>0</v>
      </c>
      <c r="AG185" s="15" t="s">
        <v>13</v>
      </c>
      <c r="AM185" s="19">
        <f>F185*AE185</f>
        <v>0</v>
      </c>
      <c r="AN185" s="19">
        <f>F185*AF185</f>
        <v>0</v>
      </c>
      <c r="AO185" s="20" t="s">
        <v>827</v>
      </c>
      <c r="AP185" s="20" t="s">
        <v>852</v>
      </c>
      <c r="AQ185" s="13" t="s">
        <v>859</v>
      </c>
      <c r="AS185" s="19">
        <f>AM185+AN185</f>
        <v>0</v>
      </c>
      <c r="AT185" s="19">
        <f>G185/(100-AU185)*100</f>
        <v>0</v>
      </c>
      <c r="AU185" s="19">
        <v>0</v>
      </c>
      <c r="AV185" s="19">
        <f>L185</f>
        <v>0.0014314</v>
      </c>
    </row>
    <row r="186" spans="1:13" ht="12.75">
      <c r="A186" s="132"/>
      <c r="B186" s="132"/>
      <c r="C186" s="132"/>
      <c r="D186" s="133" t="s">
        <v>553</v>
      </c>
      <c r="E186" s="132"/>
      <c r="F186" s="134">
        <v>8.42</v>
      </c>
      <c r="G186" s="132"/>
      <c r="H186" s="132"/>
      <c r="I186" s="132"/>
      <c r="J186" s="132"/>
      <c r="K186" s="132"/>
      <c r="L186" s="132"/>
      <c r="M186" s="132"/>
    </row>
    <row r="187" spans="1:48" ht="12.75">
      <c r="A187" s="129" t="s">
        <v>60</v>
      </c>
      <c r="B187" s="129" t="s">
        <v>197</v>
      </c>
      <c r="C187" s="129" t="s">
        <v>253</v>
      </c>
      <c r="D187" s="129" t="s">
        <v>557</v>
      </c>
      <c r="E187" s="129" t="s">
        <v>776</v>
      </c>
      <c r="F187" s="130">
        <v>40.4</v>
      </c>
      <c r="G187" s="130">
        <v>0</v>
      </c>
      <c r="H187" s="130">
        <f>F187*AE187</f>
        <v>0</v>
      </c>
      <c r="I187" s="130">
        <f>J187-H187</f>
        <v>0</v>
      </c>
      <c r="J187" s="130">
        <f>F187*G187</f>
        <v>0</v>
      </c>
      <c r="K187" s="130">
        <v>0.00559</v>
      </c>
      <c r="L187" s="130">
        <f>F187*K187</f>
        <v>0.225836</v>
      </c>
      <c r="M187" s="131" t="s">
        <v>803</v>
      </c>
      <c r="P187" s="19">
        <f>IF(AG187="5",J187,0)</f>
        <v>0</v>
      </c>
      <c r="R187" s="19">
        <f>IF(AG187="1",H187,0)</f>
        <v>0</v>
      </c>
      <c r="S187" s="19">
        <f>IF(AG187="1",I187,0)</f>
        <v>0</v>
      </c>
      <c r="T187" s="19">
        <f>IF(AG187="7",H187,0)</f>
        <v>0</v>
      </c>
      <c r="U187" s="19">
        <f>IF(AG187="7",I187,0)</f>
        <v>0</v>
      </c>
      <c r="V187" s="19">
        <f>IF(AG187="2",H187,0)</f>
        <v>0</v>
      </c>
      <c r="W187" s="19">
        <f>IF(AG187="2",I187,0)</f>
        <v>0</v>
      </c>
      <c r="X187" s="19">
        <f>IF(AG187="0",J187,0)</f>
        <v>0</v>
      </c>
      <c r="Y187" s="13" t="s">
        <v>197</v>
      </c>
      <c r="Z187" s="10">
        <f>IF(AD187=0,J187,0)</f>
        <v>0</v>
      </c>
      <c r="AA187" s="10">
        <f>IF(AD187=15,J187,0)</f>
        <v>0</v>
      </c>
      <c r="AB187" s="10">
        <f>IF(AD187=21,J187,0)</f>
        <v>0</v>
      </c>
      <c r="AD187" s="19">
        <v>21</v>
      </c>
      <c r="AE187" s="19">
        <f>G187*0.671225566920249</f>
        <v>0</v>
      </c>
      <c r="AF187" s="19">
        <f>G187*(1-0.671225566920249)</f>
        <v>0</v>
      </c>
      <c r="AG187" s="15" t="s">
        <v>13</v>
      </c>
      <c r="AM187" s="19">
        <f>F187*AE187</f>
        <v>0</v>
      </c>
      <c r="AN187" s="19">
        <f>F187*AF187</f>
        <v>0</v>
      </c>
      <c r="AO187" s="20" t="s">
        <v>827</v>
      </c>
      <c r="AP187" s="20" t="s">
        <v>852</v>
      </c>
      <c r="AQ187" s="13" t="s">
        <v>859</v>
      </c>
      <c r="AS187" s="19">
        <f>AM187+AN187</f>
        <v>0</v>
      </c>
      <c r="AT187" s="19">
        <f>G187/(100-AU187)*100</f>
        <v>0</v>
      </c>
      <c r="AU187" s="19">
        <v>0</v>
      </c>
      <c r="AV187" s="19">
        <f>L187</f>
        <v>0.225836</v>
      </c>
    </row>
    <row r="188" spans="1:13" ht="12.75">
      <c r="A188" s="132"/>
      <c r="B188" s="132"/>
      <c r="C188" s="132"/>
      <c r="D188" s="133" t="s">
        <v>558</v>
      </c>
      <c r="E188" s="132"/>
      <c r="F188" s="134">
        <v>40.4</v>
      </c>
      <c r="G188" s="132"/>
      <c r="H188" s="132"/>
      <c r="I188" s="132"/>
      <c r="J188" s="132"/>
      <c r="K188" s="132"/>
      <c r="L188" s="132"/>
      <c r="M188" s="132"/>
    </row>
    <row r="189" spans="1:48" ht="12.75">
      <c r="A189" s="129" t="s">
        <v>61</v>
      </c>
      <c r="B189" s="129" t="s">
        <v>197</v>
      </c>
      <c r="C189" s="129" t="s">
        <v>254</v>
      </c>
      <c r="D189" s="129" t="s">
        <v>559</v>
      </c>
      <c r="E189" s="129" t="s">
        <v>776</v>
      </c>
      <c r="F189" s="130">
        <v>8.42</v>
      </c>
      <c r="G189" s="130">
        <v>0</v>
      </c>
      <c r="H189" s="130">
        <f>F189*AE189</f>
        <v>0</v>
      </c>
      <c r="I189" s="130">
        <f>J189-H189</f>
        <v>0</v>
      </c>
      <c r="J189" s="130">
        <f>F189*G189</f>
        <v>0</v>
      </c>
      <c r="K189" s="130">
        <v>0.00598</v>
      </c>
      <c r="L189" s="130">
        <f>F189*K189</f>
        <v>0.0503516</v>
      </c>
      <c r="M189" s="131" t="s">
        <v>803</v>
      </c>
      <c r="P189" s="19">
        <f>IF(AG189="5",J189,0)</f>
        <v>0</v>
      </c>
      <c r="R189" s="19">
        <f>IF(AG189="1",H189,0)</f>
        <v>0</v>
      </c>
      <c r="S189" s="19">
        <f>IF(AG189="1",I189,0)</f>
        <v>0</v>
      </c>
      <c r="T189" s="19">
        <f>IF(AG189="7",H189,0)</f>
        <v>0</v>
      </c>
      <c r="U189" s="19">
        <f>IF(AG189="7",I189,0)</f>
        <v>0</v>
      </c>
      <c r="V189" s="19">
        <f>IF(AG189="2",H189,0)</f>
        <v>0</v>
      </c>
      <c r="W189" s="19">
        <f>IF(AG189="2",I189,0)</f>
        <v>0</v>
      </c>
      <c r="X189" s="19">
        <f>IF(AG189="0",J189,0)</f>
        <v>0</v>
      </c>
      <c r="Y189" s="13" t="s">
        <v>197</v>
      </c>
      <c r="Z189" s="10">
        <f>IF(AD189=0,J189,0)</f>
        <v>0</v>
      </c>
      <c r="AA189" s="10">
        <f>IF(AD189=15,J189,0)</f>
        <v>0</v>
      </c>
      <c r="AB189" s="10">
        <f>IF(AD189=21,J189,0)</f>
        <v>0</v>
      </c>
      <c r="AD189" s="19">
        <v>21</v>
      </c>
      <c r="AE189" s="19">
        <f>G189*0.653129820359281</f>
        <v>0</v>
      </c>
      <c r="AF189" s="19">
        <f>G189*(1-0.653129820359281)</f>
        <v>0</v>
      </c>
      <c r="AG189" s="15" t="s">
        <v>13</v>
      </c>
      <c r="AM189" s="19">
        <f>F189*AE189</f>
        <v>0</v>
      </c>
      <c r="AN189" s="19">
        <f>F189*AF189</f>
        <v>0</v>
      </c>
      <c r="AO189" s="20" t="s">
        <v>827</v>
      </c>
      <c r="AP189" s="20" t="s">
        <v>852</v>
      </c>
      <c r="AQ189" s="13" t="s">
        <v>859</v>
      </c>
      <c r="AS189" s="19">
        <f>AM189+AN189</f>
        <v>0</v>
      </c>
      <c r="AT189" s="19">
        <f>G189/(100-AU189)*100</f>
        <v>0</v>
      </c>
      <c r="AU189" s="19">
        <v>0</v>
      </c>
      <c r="AV189" s="19">
        <f>L189</f>
        <v>0.0503516</v>
      </c>
    </row>
    <row r="190" spans="1:13" ht="12.75">
      <c r="A190" s="132"/>
      <c r="B190" s="132"/>
      <c r="C190" s="132"/>
      <c r="D190" s="133" t="s">
        <v>560</v>
      </c>
      <c r="E190" s="132"/>
      <c r="F190" s="134">
        <v>8.42</v>
      </c>
      <c r="G190" s="132"/>
      <c r="H190" s="132"/>
      <c r="I190" s="132"/>
      <c r="J190" s="132"/>
      <c r="K190" s="132"/>
      <c r="L190" s="132"/>
      <c r="M190" s="132"/>
    </row>
    <row r="191" spans="1:48" ht="12.75">
      <c r="A191" s="129" t="s">
        <v>62</v>
      </c>
      <c r="B191" s="129" t="s">
        <v>197</v>
      </c>
      <c r="C191" s="129" t="s">
        <v>255</v>
      </c>
      <c r="D191" s="129" t="s">
        <v>561</v>
      </c>
      <c r="E191" s="129" t="s">
        <v>776</v>
      </c>
      <c r="F191" s="130">
        <v>5</v>
      </c>
      <c r="G191" s="130">
        <v>0</v>
      </c>
      <c r="H191" s="130">
        <f>F191*AE191</f>
        <v>0</v>
      </c>
      <c r="I191" s="130">
        <f>J191-H191</f>
        <v>0</v>
      </c>
      <c r="J191" s="130">
        <f>F191*G191</f>
        <v>0</v>
      </c>
      <c r="K191" s="130">
        <v>0.00021</v>
      </c>
      <c r="L191" s="130">
        <f>F191*K191</f>
        <v>0.0010500000000000002</v>
      </c>
      <c r="M191" s="131" t="s">
        <v>803</v>
      </c>
      <c r="P191" s="19">
        <f>IF(AG191="5",J191,0)</f>
        <v>0</v>
      </c>
      <c r="R191" s="19">
        <f>IF(AG191="1",H191,0)</f>
        <v>0</v>
      </c>
      <c r="S191" s="19">
        <f>IF(AG191="1",I191,0)</f>
        <v>0</v>
      </c>
      <c r="T191" s="19">
        <f>IF(AG191="7",H191,0)</f>
        <v>0</v>
      </c>
      <c r="U191" s="19">
        <f>IF(AG191="7",I191,0)</f>
        <v>0</v>
      </c>
      <c r="V191" s="19">
        <f>IF(AG191="2",H191,0)</f>
        <v>0</v>
      </c>
      <c r="W191" s="19">
        <f>IF(AG191="2",I191,0)</f>
        <v>0</v>
      </c>
      <c r="X191" s="19">
        <f>IF(AG191="0",J191,0)</f>
        <v>0</v>
      </c>
      <c r="Y191" s="13" t="s">
        <v>197</v>
      </c>
      <c r="Z191" s="10">
        <f>IF(AD191=0,J191,0)</f>
        <v>0</v>
      </c>
      <c r="AA191" s="10">
        <f>IF(AD191=15,J191,0)</f>
        <v>0</v>
      </c>
      <c r="AB191" s="10">
        <f>IF(AD191=21,J191,0)</f>
        <v>0</v>
      </c>
      <c r="AD191" s="19">
        <v>21</v>
      </c>
      <c r="AE191" s="19">
        <f>G191*0.214225053078556</f>
        <v>0</v>
      </c>
      <c r="AF191" s="19">
        <f>G191*(1-0.214225053078556)</f>
        <v>0</v>
      </c>
      <c r="AG191" s="15" t="s">
        <v>13</v>
      </c>
      <c r="AM191" s="19">
        <f>F191*AE191</f>
        <v>0</v>
      </c>
      <c r="AN191" s="19">
        <f>F191*AF191</f>
        <v>0</v>
      </c>
      <c r="AO191" s="20" t="s">
        <v>827</v>
      </c>
      <c r="AP191" s="20" t="s">
        <v>852</v>
      </c>
      <c r="AQ191" s="13" t="s">
        <v>859</v>
      </c>
      <c r="AS191" s="19">
        <f>AM191+AN191</f>
        <v>0</v>
      </c>
      <c r="AT191" s="19">
        <f>G191/(100-AU191)*100</f>
        <v>0</v>
      </c>
      <c r="AU191" s="19">
        <v>0</v>
      </c>
      <c r="AV191" s="19">
        <f>L191</f>
        <v>0.0010500000000000002</v>
      </c>
    </row>
    <row r="192" spans="1:13" ht="12.75">
      <c r="A192" s="132"/>
      <c r="B192" s="132"/>
      <c r="C192" s="132"/>
      <c r="D192" s="133" t="s">
        <v>562</v>
      </c>
      <c r="E192" s="132"/>
      <c r="F192" s="134">
        <v>1</v>
      </c>
      <c r="G192" s="132"/>
      <c r="H192" s="132"/>
      <c r="I192" s="132"/>
      <c r="J192" s="132"/>
      <c r="K192" s="132"/>
      <c r="L192" s="132"/>
      <c r="M192" s="132"/>
    </row>
    <row r="193" spans="1:13" ht="12.75">
      <c r="A193" s="132"/>
      <c r="B193" s="132"/>
      <c r="C193" s="132"/>
      <c r="D193" s="133" t="s">
        <v>563</v>
      </c>
      <c r="E193" s="132"/>
      <c r="F193" s="134">
        <v>4</v>
      </c>
      <c r="G193" s="132"/>
      <c r="H193" s="132"/>
      <c r="I193" s="132"/>
      <c r="J193" s="132"/>
      <c r="K193" s="132"/>
      <c r="L193" s="132"/>
      <c r="M193" s="132"/>
    </row>
    <row r="194" spans="1:48" ht="12.75">
      <c r="A194" s="129" t="s">
        <v>63</v>
      </c>
      <c r="B194" s="129" t="s">
        <v>197</v>
      </c>
      <c r="C194" s="129" t="s">
        <v>256</v>
      </c>
      <c r="D194" s="129" t="s">
        <v>564</v>
      </c>
      <c r="E194" s="129" t="s">
        <v>776</v>
      </c>
      <c r="F194" s="130">
        <v>5</v>
      </c>
      <c r="G194" s="130">
        <v>0</v>
      </c>
      <c r="H194" s="130">
        <f>F194*AE194</f>
        <v>0</v>
      </c>
      <c r="I194" s="130">
        <f>J194-H194</f>
        <v>0</v>
      </c>
      <c r="J194" s="130">
        <f>F194*G194</f>
        <v>0</v>
      </c>
      <c r="K194" s="130">
        <v>0.00368</v>
      </c>
      <c r="L194" s="130">
        <f>F194*K194</f>
        <v>0.0184</v>
      </c>
      <c r="M194" s="131" t="s">
        <v>803</v>
      </c>
      <c r="P194" s="19">
        <f>IF(AG194="5",J194,0)</f>
        <v>0</v>
      </c>
      <c r="R194" s="19">
        <f>IF(AG194="1",H194,0)</f>
        <v>0</v>
      </c>
      <c r="S194" s="19">
        <f>IF(AG194="1",I194,0)</f>
        <v>0</v>
      </c>
      <c r="T194" s="19">
        <f>IF(AG194="7",H194,0)</f>
        <v>0</v>
      </c>
      <c r="U194" s="19">
        <f>IF(AG194="7",I194,0)</f>
        <v>0</v>
      </c>
      <c r="V194" s="19">
        <f>IF(AG194="2",H194,0)</f>
        <v>0</v>
      </c>
      <c r="W194" s="19">
        <f>IF(AG194="2",I194,0)</f>
        <v>0</v>
      </c>
      <c r="X194" s="19">
        <f>IF(AG194="0",J194,0)</f>
        <v>0</v>
      </c>
      <c r="Y194" s="13" t="s">
        <v>197</v>
      </c>
      <c r="Z194" s="10">
        <f>IF(AD194=0,J194,0)</f>
        <v>0</v>
      </c>
      <c r="AA194" s="10">
        <f>IF(AD194=15,J194,0)</f>
        <v>0</v>
      </c>
      <c r="AB194" s="10">
        <f>IF(AD194=21,J194,0)</f>
        <v>0</v>
      </c>
      <c r="AD194" s="19">
        <v>21</v>
      </c>
      <c r="AE194" s="19">
        <f>G194*0.581887287024902</f>
        <v>0</v>
      </c>
      <c r="AF194" s="19">
        <f>G194*(1-0.581887287024902)</f>
        <v>0</v>
      </c>
      <c r="AG194" s="15" t="s">
        <v>13</v>
      </c>
      <c r="AM194" s="19">
        <f>F194*AE194</f>
        <v>0</v>
      </c>
      <c r="AN194" s="19">
        <f>F194*AF194</f>
        <v>0</v>
      </c>
      <c r="AO194" s="20" t="s">
        <v>827</v>
      </c>
      <c r="AP194" s="20" t="s">
        <v>852</v>
      </c>
      <c r="AQ194" s="13" t="s">
        <v>859</v>
      </c>
      <c r="AS194" s="19">
        <f>AM194+AN194</f>
        <v>0</v>
      </c>
      <c r="AT194" s="19">
        <f>G194/(100-AU194)*100</f>
        <v>0</v>
      </c>
      <c r="AU194" s="19">
        <v>0</v>
      </c>
      <c r="AV194" s="19">
        <f>L194</f>
        <v>0.0184</v>
      </c>
    </row>
    <row r="195" spans="1:48" ht="12.75">
      <c r="A195" s="129" t="s">
        <v>64</v>
      </c>
      <c r="B195" s="129" t="s">
        <v>197</v>
      </c>
      <c r="C195" s="129" t="s">
        <v>257</v>
      </c>
      <c r="D195" s="129" t="s">
        <v>565</v>
      </c>
      <c r="E195" s="129" t="s">
        <v>779</v>
      </c>
      <c r="F195" s="130">
        <v>4</v>
      </c>
      <c r="G195" s="130">
        <v>0</v>
      </c>
      <c r="H195" s="130">
        <f>F195*AE195</f>
        <v>0</v>
      </c>
      <c r="I195" s="130">
        <f>J195-H195</f>
        <v>0</v>
      </c>
      <c r="J195" s="130">
        <f>F195*G195</f>
        <v>0</v>
      </c>
      <c r="K195" s="130">
        <v>0.00032</v>
      </c>
      <c r="L195" s="130">
        <f>F195*K195</f>
        <v>0.00128</v>
      </c>
      <c r="M195" s="131" t="s">
        <v>803</v>
      </c>
      <c r="P195" s="19">
        <f>IF(AG195="5",J195,0)</f>
        <v>0</v>
      </c>
      <c r="R195" s="19">
        <f>IF(AG195="1",H195,0)</f>
        <v>0</v>
      </c>
      <c r="S195" s="19">
        <f>IF(AG195="1",I195,0)</f>
        <v>0</v>
      </c>
      <c r="T195" s="19">
        <f>IF(AG195="7",H195,0)</f>
        <v>0</v>
      </c>
      <c r="U195" s="19">
        <f>IF(AG195="7",I195,0)</f>
        <v>0</v>
      </c>
      <c r="V195" s="19">
        <f>IF(AG195="2",H195,0)</f>
        <v>0</v>
      </c>
      <c r="W195" s="19">
        <f>IF(AG195="2",I195,0)</f>
        <v>0</v>
      </c>
      <c r="X195" s="19">
        <f>IF(AG195="0",J195,0)</f>
        <v>0</v>
      </c>
      <c r="Y195" s="13" t="s">
        <v>197</v>
      </c>
      <c r="Z195" s="10">
        <f>IF(AD195=0,J195,0)</f>
        <v>0</v>
      </c>
      <c r="AA195" s="10">
        <f>IF(AD195=15,J195,0)</f>
        <v>0</v>
      </c>
      <c r="AB195" s="10">
        <f>IF(AD195=21,J195,0)</f>
        <v>0</v>
      </c>
      <c r="AD195" s="19">
        <v>21</v>
      </c>
      <c r="AE195" s="19">
        <f>G195*0.718641975308642</f>
        <v>0</v>
      </c>
      <c r="AF195" s="19">
        <f>G195*(1-0.718641975308642)</f>
        <v>0</v>
      </c>
      <c r="AG195" s="15" t="s">
        <v>13</v>
      </c>
      <c r="AM195" s="19">
        <f>F195*AE195</f>
        <v>0</v>
      </c>
      <c r="AN195" s="19">
        <f>F195*AF195</f>
        <v>0</v>
      </c>
      <c r="AO195" s="20" t="s">
        <v>827</v>
      </c>
      <c r="AP195" s="20" t="s">
        <v>852</v>
      </c>
      <c r="AQ195" s="13" t="s">
        <v>859</v>
      </c>
      <c r="AS195" s="19">
        <f>AM195+AN195</f>
        <v>0</v>
      </c>
      <c r="AT195" s="19">
        <f>G195/(100-AU195)*100</f>
        <v>0</v>
      </c>
      <c r="AU195" s="19">
        <v>0</v>
      </c>
      <c r="AV195" s="19">
        <f>L195</f>
        <v>0.00128</v>
      </c>
    </row>
    <row r="196" spans="1:13" ht="12.75">
      <c r="A196" s="132"/>
      <c r="B196" s="132"/>
      <c r="C196" s="132"/>
      <c r="D196" s="133" t="s">
        <v>566</v>
      </c>
      <c r="E196" s="132"/>
      <c r="F196" s="134">
        <v>2</v>
      </c>
      <c r="G196" s="132"/>
      <c r="H196" s="132"/>
      <c r="I196" s="132"/>
      <c r="J196" s="132"/>
      <c r="K196" s="132"/>
      <c r="L196" s="132"/>
      <c r="M196" s="132"/>
    </row>
    <row r="197" spans="1:13" ht="12.75">
      <c r="A197" s="132"/>
      <c r="B197" s="132"/>
      <c r="C197" s="132"/>
      <c r="D197" s="133" t="s">
        <v>8</v>
      </c>
      <c r="E197" s="132"/>
      <c r="F197" s="134">
        <v>2</v>
      </c>
      <c r="G197" s="132"/>
      <c r="H197" s="132"/>
      <c r="I197" s="132"/>
      <c r="J197" s="132"/>
      <c r="K197" s="132"/>
      <c r="L197" s="132"/>
      <c r="M197" s="132"/>
    </row>
    <row r="198" spans="1:48" ht="12.75">
      <c r="A198" s="129" t="s">
        <v>65</v>
      </c>
      <c r="B198" s="129" t="s">
        <v>197</v>
      </c>
      <c r="C198" s="129" t="s">
        <v>258</v>
      </c>
      <c r="D198" s="129" t="s">
        <v>567</v>
      </c>
      <c r="E198" s="129" t="s">
        <v>778</v>
      </c>
      <c r="F198" s="130">
        <v>0.34</v>
      </c>
      <c r="G198" s="130">
        <v>0</v>
      </c>
      <c r="H198" s="130">
        <f>F198*AE198</f>
        <v>0</v>
      </c>
      <c r="I198" s="130">
        <f>J198-H198</f>
        <v>0</v>
      </c>
      <c r="J198" s="130">
        <f>F198*G198</f>
        <v>0</v>
      </c>
      <c r="K198" s="130">
        <v>0</v>
      </c>
      <c r="L198" s="130">
        <f>F198*K198</f>
        <v>0</v>
      </c>
      <c r="M198" s="131" t="s">
        <v>803</v>
      </c>
      <c r="P198" s="19">
        <f>IF(AG198="5",J198,0)</f>
        <v>0</v>
      </c>
      <c r="R198" s="19">
        <f>IF(AG198="1",H198,0)</f>
        <v>0</v>
      </c>
      <c r="S198" s="19">
        <f>IF(AG198="1",I198,0)</f>
        <v>0</v>
      </c>
      <c r="T198" s="19">
        <f>IF(AG198="7",H198,0)</f>
        <v>0</v>
      </c>
      <c r="U198" s="19">
        <f>IF(AG198="7",I198,0)</f>
        <v>0</v>
      </c>
      <c r="V198" s="19">
        <f>IF(AG198="2",H198,0)</f>
        <v>0</v>
      </c>
      <c r="W198" s="19">
        <f>IF(AG198="2",I198,0)</f>
        <v>0</v>
      </c>
      <c r="X198" s="19">
        <f>IF(AG198="0",J198,0)</f>
        <v>0</v>
      </c>
      <c r="Y198" s="13" t="s">
        <v>197</v>
      </c>
      <c r="Z198" s="10">
        <f>IF(AD198=0,J198,0)</f>
        <v>0</v>
      </c>
      <c r="AA198" s="10">
        <f>IF(AD198=15,J198,0)</f>
        <v>0</v>
      </c>
      <c r="AB198" s="10">
        <f>IF(AD198=21,J198,0)</f>
        <v>0</v>
      </c>
      <c r="AD198" s="19">
        <v>21</v>
      </c>
      <c r="AE198" s="19">
        <f>G198*0</f>
        <v>0</v>
      </c>
      <c r="AF198" s="19">
        <f>G198*(1-0)</f>
        <v>0</v>
      </c>
      <c r="AG198" s="15" t="s">
        <v>11</v>
      </c>
      <c r="AM198" s="19">
        <f>F198*AE198</f>
        <v>0</v>
      </c>
      <c r="AN198" s="19">
        <f>F198*AF198</f>
        <v>0</v>
      </c>
      <c r="AO198" s="20" t="s">
        <v>827</v>
      </c>
      <c r="AP198" s="20" t="s">
        <v>852</v>
      </c>
      <c r="AQ198" s="13" t="s">
        <v>859</v>
      </c>
      <c r="AS198" s="19">
        <f>AM198+AN198</f>
        <v>0</v>
      </c>
      <c r="AT198" s="19">
        <f>G198/(100-AU198)*100</f>
        <v>0</v>
      </c>
      <c r="AU198" s="19">
        <v>0</v>
      </c>
      <c r="AV198" s="19">
        <f>L198</f>
        <v>0</v>
      </c>
    </row>
    <row r="199" spans="1:37" ht="12.75">
      <c r="A199" s="125"/>
      <c r="B199" s="126" t="s">
        <v>197</v>
      </c>
      <c r="C199" s="126" t="s">
        <v>259</v>
      </c>
      <c r="D199" s="126" t="s">
        <v>568</v>
      </c>
      <c r="E199" s="125" t="s">
        <v>6</v>
      </c>
      <c r="F199" s="125" t="s">
        <v>6</v>
      </c>
      <c r="G199" s="125" t="s">
        <v>6</v>
      </c>
      <c r="H199" s="127">
        <f>SUM(H200:H202)</f>
        <v>0</v>
      </c>
      <c r="I199" s="127">
        <f>SUM(I200:I202)</f>
        <v>0</v>
      </c>
      <c r="J199" s="127">
        <f>H199+I199</f>
        <v>0</v>
      </c>
      <c r="K199" s="128"/>
      <c r="L199" s="127">
        <f>SUM(L200:L202)</f>
        <v>0.5614182000000001</v>
      </c>
      <c r="M199" s="128"/>
      <c r="Y199" s="13" t="s">
        <v>197</v>
      </c>
      <c r="AI199" s="22">
        <f>SUM(Z200:Z202)</f>
        <v>0</v>
      </c>
      <c r="AJ199" s="22">
        <f>SUM(AA200:AA202)</f>
        <v>0</v>
      </c>
      <c r="AK199" s="22">
        <f>SUM(AB200:AB202)</f>
        <v>0</v>
      </c>
    </row>
    <row r="200" spans="1:48" ht="12.75">
      <c r="A200" s="129" t="s">
        <v>66</v>
      </c>
      <c r="B200" s="129" t="s">
        <v>197</v>
      </c>
      <c r="C200" s="129" t="s">
        <v>260</v>
      </c>
      <c r="D200" s="129" t="s">
        <v>569</v>
      </c>
      <c r="E200" s="129" t="s">
        <v>776</v>
      </c>
      <c r="F200" s="130">
        <v>52.42</v>
      </c>
      <c r="G200" s="130">
        <v>0</v>
      </c>
      <c r="H200" s="130">
        <f>F200*AE200</f>
        <v>0</v>
      </c>
      <c r="I200" s="130">
        <f>J200-H200</f>
        <v>0</v>
      </c>
      <c r="J200" s="130">
        <f>F200*G200</f>
        <v>0</v>
      </c>
      <c r="K200" s="130">
        <v>0.01071</v>
      </c>
      <c r="L200" s="130">
        <f>F200*K200</f>
        <v>0.5614182000000001</v>
      </c>
      <c r="M200" s="131" t="s">
        <v>803</v>
      </c>
      <c r="P200" s="19">
        <f>IF(AG200="5",J200,0)</f>
        <v>0</v>
      </c>
      <c r="R200" s="19">
        <f>IF(AG200="1",H200,0)</f>
        <v>0</v>
      </c>
      <c r="S200" s="19">
        <f>IF(AG200="1",I200,0)</f>
        <v>0</v>
      </c>
      <c r="T200" s="19">
        <f>IF(AG200="7",H200,0)</f>
        <v>0</v>
      </c>
      <c r="U200" s="19">
        <f>IF(AG200="7",I200,0)</f>
        <v>0</v>
      </c>
      <c r="V200" s="19">
        <f>IF(AG200="2",H200,0)</f>
        <v>0</v>
      </c>
      <c r="W200" s="19">
        <f>IF(AG200="2",I200,0)</f>
        <v>0</v>
      </c>
      <c r="X200" s="19">
        <f>IF(AG200="0",J200,0)</f>
        <v>0</v>
      </c>
      <c r="Y200" s="13" t="s">
        <v>197</v>
      </c>
      <c r="Z200" s="10">
        <f>IF(AD200=0,J200,0)</f>
        <v>0</v>
      </c>
      <c r="AA200" s="10">
        <f>IF(AD200=15,J200,0)</f>
        <v>0</v>
      </c>
      <c r="AB200" s="10">
        <f>IF(AD200=21,J200,0)</f>
        <v>0</v>
      </c>
      <c r="AD200" s="19">
        <v>21</v>
      </c>
      <c r="AE200" s="19">
        <f>G200*0.643974485175092</f>
        <v>0</v>
      </c>
      <c r="AF200" s="19">
        <f>G200*(1-0.643974485175092)</f>
        <v>0</v>
      </c>
      <c r="AG200" s="15" t="s">
        <v>13</v>
      </c>
      <c r="AM200" s="19">
        <f>F200*AE200</f>
        <v>0</v>
      </c>
      <c r="AN200" s="19">
        <f>F200*AF200</f>
        <v>0</v>
      </c>
      <c r="AO200" s="20" t="s">
        <v>828</v>
      </c>
      <c r="AP200" s="20" t="s">
        <v>852</v>
      </c>
      <c r="AQ200" s="13" t="s">
        <v>859</v>
      </c>
      <c r="AS200" s="19">
        <f>AM200+AN200</f>
        <v>0</v>
      </c>
      <c r="AT200" s="19">
        <f>G200/(100-AU200)*100</f>
        <v>0</v>
      </c>
      <c r="AU200" s="19">
        <v>0</v>
      </c>
      <c r="AV200" s="19">
        <f>L200</f>
        <v>0.5614182000000001</v>
      </c>
    </row>
    <row r="201" spans="1:13" ht="12.75">
      <c r="A201" s="132"/>
      <c r="B201" s="132"/>
      <c r="C201" s="132"/>
      <c r="D201" s="133" t="s">
        <v>570</v>
      </c>
      <c r="E201" s="132"/>
      <c r="F201" s="134">
        <v>52.42</v>
      </c>
      <c r="G201" s="132"/>
      <c r="H201" s="132"/>
      <c r="I201" s="132"/>
      <c r="J201" s="132"/>
      <c r="K201" s="132"/>
      <c r="L201" s="132"/>
      <c r="M201" s="132"/>
    </row>
    <row r="202" spans="1:48" ht="12.75">
      <c r="A202" s="129" t="s">
        <v>67</v>
      </c>
      <c r="B202" s="129" t="s">
        <v>197</v>
      </c>
      <c r="C202" s="129" t="s">
        <v>261</v>
      </c>
      <c r="D202" s="129" t="s">
        <v>571</v>
      </c>
      <c r="E202" s="129" t="s">
        <v>778</v>
      </c>
      <c r="F202" s="130">
        <v>0.56</v>
      </c>
      <c r="G202" s="130">
        <v>0</v>
      </c>
      <c r="H202" s="130">
        <f>F202*AE202</f>
        <v>0</v>
      </c>
      <c r="I202" s="130">
        <f>J202-H202</f>
        <v>0</v>
      </c>
      <c r="J202" s="130">
        <f>F202*G202</f>
        <v>0</v>
      </c>
      <c r="K202" s="130">
        <v>0</v>
      </c>
      <c r="L202" s="130">
        <f>F202*K202</f>
        <v>0</v>
      </c>
      <c r="M202" s="131" t="s">
        <v>803</v>
      </c>
      <c r="P202" s="19">
        <f>IF(AG202="5",J202,0)</f>
        <v>0</v>
      </c>
      <c r="R202" s="19">
        <f>IF(AG202="1",H202,0)</f>
        <v>0</v>
      </c>
      <c r="S202" s="19">
        <f>IF(AG202="1",I202,0)</f>
        <v>0</v>
      </c>
      <c r="T202" s="19">
        <f>IF(AG202="7",H202,0)</f>
        <v>0</v>
      </c>
      <c r="U202" s="19">
        <f>IF(AG202="7",I202,0)</f>
        <v>0</v>
      </c>
      <c r="V202" s="19">
        <f>IF(AG202="2",H202,0)</f>
        <v>0</v>
      </c>
      <c r="W202" s="19">
        <f>IF(AG202="2",I202,0)</f>
        <v>0</v>
      </c>
      <c r="X202" s="19">
        <f>IF(AG202="0",J202,0)</f>
        <v>0</v>
      </c>
      <c r="Y202" s="13" t="s">
        <v>197</v>
      </c>
      <c r="Z202" s="10">
        <f>IF(AD202=0,J202,0)</f>
        <v>0</v>
      </c>
      <c r="AA202" s="10">
        <f>IF(AD202=15,J202,0)</f>
        <v>0</v>
      </c>
      <c r="AB202" s="10">
        <f>IF(AD202=21,J202,0)</f>
        <v>0</v>
      </c>
      <c r="AD202" s="19">
        <v>21</v>
      </c>
      <c r="AE202" s="19">
        <f>G202*0</f>
        <v>0</v>
      </c>
      <c r="AF202" s="19">
        <f>G202*(1-0)</f>
        <v>0</v>
      </c>
      <c r="AG202" s="15" t="s">
        <v>11</v>
      </c>
      <c r="AM202" s="19">
        <f>F202*AE202</f>
        <v>0</v>
      </c>
      <c r="AN202" s="19">
        <f>F202*AF202</f>
        <v>0</v>
      </c>
      <c r="AO202" s="20" t="s">
        <v>828</v>
      </c>
      <c r="AP202" s="20" t="s">
        <v>852</v>
      </c>
      <c r="AQ202" s="13" t="s">
        <v>859</v>
      </c>
      <c r="AS202" s="19">
        <f>AM202+AN202</f>
        <v>0</v>
      </c>
      <c r="AT202" s="19">
        <f>G202/(100-AU202)*100</f>
        <v>0</v>
      </c>
      <c r="AU202" s="19">
        <v>0</v>
      </c>
      <c r="AV202" s="19">
        <f>L202</f>
        <v>0</v>
      </c>
    </row>
    <row r="203" spans="1:37" ht="12.75">
      <c r="A203" s="125"/>
      <c r="B203" s="126" t="s">
        <v>197</v>
      </c>
      <c r="C203" s="126" t="s">
        <v>262</v>
      </c>
      <c r="D203" s="126" t="s">
        <v>572</v>
      </c>
      <c r="E203" s="125" t="s">
        <v>6</v>
      </c>
      <c r="F203" s="125" t="s">
        <v>6</v>
      </c>
      <c r="G203" s="125" t="s">
        <v>6</v>
      </c>
      <c r="H203" s="127">
        <f>SUM(H204:H209)</f>
        <v>0</v>
      </c>
      <c r="I203" s="127">
        <f>SUM(I204:I209)</f>
        <v>0</v>
      </c>
      <c r="J203" s="127">
        <f>H203+I203</f>
        <v>0</v>
      </c>
      <c r="K203" s="128"/>
      <c r="L203" s="127">
        <f>SUM(L204:L209)</f>
        <v>0.2669807</v>
      </c>
      <c r="M203" s="128"/>
      <c r="Y203" s="13" t="s">
        <v>197</v>
      </c>
      <c r="AI203" s="22">
        <f>SUM(Z204:Z209)</f>
        <v>0</v>
      </c>
      <c r="AJ203" s="22">
        <f>SUM(AA204:AA209)</f>
        <v>0</v>
      </c>
      <c r="AK203" s="22">
        <f>SUM(AB204:AB209)</f>
        <v>0</v>
      </c>
    </row>
    <row r="204" spans="1:48" ht="12.75">
      <c r="A204" s="129" t="s">
        <v>68</v>
      </c>
      <c r="B204" s="129" t="s">
        <v>197</v>
      </c>
      <c r="C204" s="129" t="s">
        <v>263</v>
      </c>
      <c r="D204" s="129" t="s">
        <v>573</v>
      </c>
      <c r="E204" s="129" t="s">
        <v>776</v>
      </c>
      <c r="F204" s="130">
        <v>34.13</v>
      </c>
      <c r="G204" s="130">
        <v>0</v>
      </c>
      <c r="H204" s="130">
        <f>F204*AE204</f>
        <v>0</v>
      </c>
      <c r="I204" s="130">
        <f>J204-H204</f>
        <v>0</v>
      </c>
      <c r="J204" s="130">
        <f>F204*G204</f>
        <v>0</v>
      </c>
      <c r="K204" s="130">
        <v>0</v>
      </c>
      <c r="L204" s="130">
        <f>F204*K204</f>
        <v>0</v>
      </c>
      <c r="M204" s="131" t="s">
        <v>803</v>
      </c>
      <c r="P204" s="19">
        <f>IF(AG204="5",J204,0)</f>
        <v>0</v>
      </c>
      <c r="R204" s="19">
        <f>IF(AG204="1",H204,0)</f>
        <v>0</v>
      </c>
      <c r="S204" s="19">
        <f>IF(AG204="1",I204,0)</f>
        <v>0</v>
      </c>
      <c r="T204" s="19">
        <f>IF(AG204="7",H204,0)</f>
        <v>0</v>
      </c>
      <c r="U204" s="19">
        <f>IF(AG204="7",I204,0)</f>
        <v>0</v>
      </c>
      <c r="V204" s="19">
        <f>IF(AG204="2",H204,0)</f>
        <v>0</v>
      </c>
      <c r="W204" s="19">
        <f>IF(AG204="2",I204,0)</f>
        <v>0</v>
      </c>
      <c r="X204" s="19">
        <f>IF(AG204="0",J204,0)</f>
        <v>0</v>
      </c>
      <c r="Y204" s="13" t="s">
        <v>197</v>
      </c>
      <c r="Z204" s="10">
        <f>IF(AD204=0,J204,0)</f>
        <v>0</v>
      </c>
      <c r="AA204" s="10">
        <f>IF(AD204=15,J204,0)</f>
        <v>0</v>
      </c>
      <c r="AB204" s="10">
        <f>IF(AD204=21,J204,0)</f>
        <v>0</v>
      </c>
      <c r="AD204" s="19">
        <v>21</v>
      </c>
      <c r="AE204" s="19">
        <f>G204*0</f>
        <v>0</v>
      </c>
      <c r="AF204" s="19">
        <f>G204*(1-0)</f>
        <v>0</v>
      </c>
      <c r="AG204" s="15" t="s">
        <v>13</v>
      </c>
      <c r="AM204" s="19">
        <f>F204*AE204</f>
        <v>0</v>
      </c>
      <c r="AN204" s="19">
        <f>F204*AF204</f>
        <v>0</v>
      </c>
      <c r="AO204" s="20" t="s">
        <v>829</v>
      </c>
      <c r="AP204" s="20" t="s">
        <v>852</v>
      </c>
      <c r="AQ204" s="13" t="s">
        <v>859</v>
      </c>
      <c r="AS204" s="19">
        <f>AM204+AN204</f>
        <v>0</v>
      </c>
      <c r="AT204" s="19">
        <f>G204/(100-AU204)*100</f>
        <v>0</v>
      </c>
      <c r="AU204" s="19">
        <v>0</v>
      </c>
      <c r="AV204" s="19">
        <f>L204</f>
        <v>0</v>
      </c>
    </row>
    <row r="205" spans="1:13" ht="12.75">
      <c r="A205" s="132"/>
      <c r="B205" s="132"/>
      <c r="C205" s="132"/>
      <c r="D205" s="133" t="s">
        <v>574</v>
      </c>
      <c r="E205" s="132"/>
      <c r="F205" s="134">
        <v>34.13</v>
      </c>
      <c r="G205" s="132"/>
      <c r="H205" s="132"/>
      <c r="I205" s="132"/>
      <c r="J205" s="132"/>
      <c r="K205" s="132"/>
      <c r="L205" s="132"/>
      <c r="M205" s="132"/>
    </row>
    <row r="206" spans="1:48" ht="12.75">
      <c r="A206" s="129" t="s">
        <v>69</v>
      </c>
      <c r="B206" s="129" t="s">
        <v>197</v>
      </c>
      <c r="C206" s="129" t="s">
        <v>264</v>
      </c>
      <c r="D206" s="129" t="s">
        <v>575</v>
      </c>
      <c r="E206" s="129" t="s">
        <v>776</v>
      </c>
      <c r="F206" s="130">
        <v>34.13</v>
      </c>
      <c r="G206" s="130">
        <v>0</v>
      </c>
      <c r="H206" s="130">
        <f>F206*AE206</f>
        <v>0</v>
      </c>
      <c r="I206" s="130">
        <f>J206-H206</f>
        <v>0</v>
      </c>
      <c r="J206" s="130">
        <f>F206*G206</f>
        <v>0</v>
      </c>
      <c r="K206" s="130">
        <v>0.00019</v>
      </c>
      <c r="L206" s="130">
        <f>F206*K206</f>
        <v>0.006484700000000001</v>
      </c>
      <c r="M206" s="131" t="s">
        <v>803</v>
      </c>
      <c r="P206" s="19">
        <f>IF(AG206="5",J206,0)</f>
        <v>0</v>
      </c>
      <c r="R206" s="19">
        <f>IF(AG206="1",H206,0)</f>
        <v>0</v>
      </c>
      <c r="S206" s="19">
        <f>IF(AG206="1",I206,0)</f>
        <v>0</v>
      </c>
      <c r="T206" s="19">
        <f>IF(AG206="7",H206,0)</f>
        <v>0</v>
      </c>
      <c r="U206" s="19">
        <f>IF(AG206="7",I206,0)</f>
        <v>0</v>
      </c>
      <c r="V206" s="19">
        <f>IF(AG206="2",H206,0)</f>
        <v>0</v>
      </c>
      <c r="W206" s="19">
        <f>IF(AG206="2",I206,0)</f>
        <v>0</v>
      </c>
      <c r="X206" s="19">
        <f>IF(AG206="0",J206,0)</f>
        <v>0</v>
      </c>
      <c r="Y206" s="13" t="s">
        <v>197</v>
      </c>
      <c r="Z206" s="10">
        <f>IF(AD206=0,J206,0)</f>
        <v>0</v>
      </c>
      <c r="AA206" s="10">
        <f>IF(AD206=15,J206,0)</f>
        <v>0</v>
      </c>
      <c r="AB206" s="10">
        <f>IF(AD206=21,J206,0)</f>
        <v>0</v>
      </c>
      <c r="AD206" s="19">
        <v>21</v>
      </c>
      <c r="AE206" s="19">
        <f>G206*0.306230471518125</f>
        <v>0</v>
      </c>
      <c r="AF206" s="19">
        <f>G206*(1-0.306230471518125)</f>
        <v>0</v>
      </c>
      <c r="AG206" s="15" t="s">
        <v>13</v>
      </c>
      <c r="AM206" s="19">
        <f>F206*AE206</f>
        <v>0</v>
      </c>
      <c r="AN206" s="19">
        <f>F206*AF206</f>
        <v>0</v>
      </c>
      <c r="AO206" s="20" t="s">
        <v>829</v>
      </c>
      <c r="AP206" s="20" t="s">
        <v>852</v>
      </c>
      <c r="AQ206" s="13" t="s">
        <v>859</v>
      </c>
      <c r="AS206" s="19">
        <f>AM206+AN206</f>
        <v>0</v>
      </c>
      <c r="AT206" s="19">
        <f>G206/(100-AU206)*100</f>
        <v>0</v>
      </c>
      <c r="AU206" s="19">
        <v>0</v>
      </c>
      <c r="AV206" s="19">
        <f>L206</f>
        <v>0.006484700000000001</v>
      </c>
    </row>
    <row r="207" spans="1:48" ht="12.75">
      <c r="A207" s="135" t="s">
        <v>70</v>
      </c>
      <c r="B207" s="135" t="s">
        <v>197</v>
      </c>
      <c r="C207" s="135" t="s">
        <v>265</v>
      </c>
      <c r="D207" s="135" t="s">
        <v>576</v>
      </c>
      <c r="E207" s="135" t="s">
        <v>776</v>
      </c>
      <c r="F207" s="136">
        <v>36.18</v>
      </c>
      <c r="G207" s="136">
        <v>0</v>
      </c>
      <c r="H207" s="136">
        <f>F207*AE207</f>
        <v>0</v>
      </c>
      <c r="I207" s="136">
        <f>J207-H207</f>
        <v>0</v>
      </c>
      <c r="J207" s="136">
        <f>F207*G207</f>
        <v>0</v>
      </c>
      <c r="K207" s="136">
        <v>0.0072</v>
      </c>
      <c r="L207" s="136">
        <f>F207*K207</f>
        <v>0.260496</v>
      </c>
      <c r="M207" s="137" t="s">
        <v>803</v>
      </c>
      <c r="P207" s="19">
        <f>IF(AG207="5",J207,0)</f>
        <v>0</v>
      </c>
      <c r="R207" s="19">
        <f>IF(AG207="1",H207,0)</f>
        <v>0</v>
      </c>
      <c r="S207" s="19">
        <f>IF(AG207="1",I207,0)</f>
        <v>0</v>
      </c>
      <c r="T207" s="19">
        <f>IF(AG207="7",H207,0)</f>
        <v>0</v>
      </c>
      <c r="U207" s="19">
        <f>IF(AG207="7",I207,0)</f>
        <v>0</v>
      </c>
      <c r="V207" s="19">
        <f>IF(AG207="2",H207,0)</f>
        <v>0</v>
      </c>
      <c r="W207" s="19">
        <f>IF(AG207="2",I207,0)</f>
        <v>0</v>
      </c>
      <c r="X207" s="19">
        <f>IF(AG207="0",J207,0)</f>
        <v>0</v>
      </c>
      <c r="Y207" s="13" t="s">
        <v>197</v>
      </c>
      <c r="Z207" s="11">
        <f>IF(AD207=0,J207,0)</f>
        <v>0</v>
      </c>
      <c r="AA207" s="11">
        <f>IF(AD207=15,J207,0)</f>
        <v>0</v>
      </c>
      <c r="AB207" s="11">
        <f>IF(AD207=21,J207,0)</f>
        <v>0</v>
      </c>
      <c r="AD207" s="19">
        <v>21</v>
      </c>
      <c r="AE207" s="19">
        <f>G207*1</f>
        <v>0</v>
      </c>
      <c r="AF207" s="19">
        <f>G207*(1-1)</f>
        <v>0</v>
      </c>
      <c r="AG207" s="16" t="s">
        <v>13</v>
      </c>
      <c r="AM207" s="19">
        <f>F207*AE207</f>
        <v>0</v>
      </c>
      <c r="AN207" s="19">
        <f>F207*AF207</f>
        <v>0</v>
      </c>
      <c r="AO207" s="20" t="s">
        <v>829</v>
      </c>
      <c r="AP207" s="20" t="s">
        <v>852</v>
      </c>
      <c r="AQ207" s="13" t="s">
        <v>859</v>
      </c>
      <c r="AS207" s="19">
        <f>AM207+AN207</f>
        <v>0</v>
      </c>
      <c r="AT207" s="19">
        <f>G207/(100-AU207)*100</f>
        <v>0</v>
      </c>
      <c r="AU207" s="19">
        <v>0</v>
      </c>
      <c r="AV207" s="19">
        <f>L207</f>
        <v>0.260496</v>
      </c>
    </row>
    <row r="208" spans="1:13" ht="12.75">
      <c r="A208" s="132"/>
      <c r="B208" s="132"/>
      <c r="C208" s="132"/>
      <c r="D208" s="133" t="s">
        <v>577</v>
      </c>
      <c r="E208" s="132"/>
      <c r="F208" s="134">
        <v>36.18</v>
      </c>
      <c r="G208" s="132"/>
      <c r="H208" s="132"/>
      <c r="I208" s="132"/>
      <c r="J208" s="132"/>
      <c r="K208" s="132"/>
      <c r="L208" s="132"/>
      <c r="M208" s="132"/>
    </row>
    <row r="209" spans="1:48" ht="12.75">
      <c r="A209" s="129" t="s">
        <v>71</v>
      </c>
      <c r="B209" s="129" t="s">
        <v>197</v>
      </c>
      <c r="C209" s="129" t="s">
        <v>266</v>
      </c>
      <c r="D209" s="129" t="s">
        <v>578</v>
      </c>
      <c r="E209" s="129" t="s">
        <v>778</v>
      </c>
      <c r="F209" s="130">
        <v>0.27</v>
      </c>
      <c r="G209" s="130">
        <v>0</v>
      </c>
      <c r="H209" s="130">
        <f>F209*AE209</f>
        <v>0</v>
      </c>
      <c r="I209" s="130">
        <f>J209-H209</f>
        <v>0</v>
      </c>
      <c r="J209" s="130">
        <f>F209*G209</f>
        <v>0</v>
      </c>
      <c r="K209" s="130">
        <v>0</v>
      </c>
      <c r="L209" s="130">
        <f>F209*K209</f>
        <v>0</v>
      </c>
      <c r="M209" s="131" t="s">
        <v>803</v>
      </c>
      <c r="P209" s="19">
        <f>IF(AG209="5",J209,0)</f>
        <v>0</v>
      </c>
      <c r="R209" s="19">
        <f>IF(AG209="1",H209,0)</f>
        <v>0</v>
      </c>
      <c r="S209" s="19">
        <f>IF(AG209="1",I209,0)</f>
        <v>0</v>
      </c>
      <c r="T209" s="19">
        <f>IF(AG209="7",H209,0)</f>
        <v>0</v>
      </c>
      <c r="U209" s="19">
        <f>IF(AG209="7",I209,0)</f>
        <v>0</v>
      </c>
      <c r="V209" s="19">
        <f>IF(AG209="2",H209,0)</f>
        <v>0</v>
      </c>
      <c r="W209" s="19">
        <f>IF(AG209="2",I209,0)</f>
        <v>0</v>
      </c>
      <c r="X209" s="19">
        <f>IF(AG209="0",J209,0)</f>
        <v>0</v>
      </c>
      <c r="Y209" s="13" t="s">
        <v>197</v>
      </c>
      <c r="Z209" s="10">
        <f>IF(AD209=0,J209,0)</f>
        <v>0</v>
      </c>
      <c r="AA209" s="10">
        <f>IF(AD209=15,J209,0)</f>
        <v>0</v>
      </c>
      <c r="AB209" s="10">
        <f>IF(AD209=21,J209,0)</f>
        <v>0</v>
      </c>
      <c r="AD209" s="19">
        <v>21</v>
      </c>
      <c r="AE209" s="19">
        <f>G209*0</f>
        <v>0</v>
      </c>
      <c r="AF209" s="19">
        <f>G209*(1-0)</f>
        <v>0</v>
      </c>
      <c r="AG209" s="15" t="s">
        <v>11</v>
      </c>
      <c r="AM209" s="19">
        <f>F209*AE209</f>
        <v>0</v>
      </c>
      <c r="AN209" s="19">
        <f>F209*AF209</f>
        <v>0</v>
      </c>
      <c r="AO209" s="20" t="s">
        <v>829</v>
      </c>
      <c r="AP209" s="20" t="s">
        <v>852</v>
      </c>
      <c r="AQ209" s="13" t="s">
        <v>859</v>
      </c>
      <c r="AS209" s="19">
        <f>AM209+AN209</f>
        <v>0</v>
      </c>
      <c r="AT209" s="19">
        <f>G209/(100-AU209)*100</f>
        <v>0</v>
      </c>
      <c r="AU209" s="19">
        <v>0</v>
      </c>
      <c r="AV209" s="19">
        <f>L209</f>
        <v>0</v>
      </c>
    </row>
    <row r="210" spans="1:37" ht="12.75">
      <c r="A210" s="125"/>
      <c r="B210" s="126" t="s">
        <v>197</v>
      </c>
      <c r="C210" s="126" t="s">
        <v>267</v>
      </c>
      <c r="D210" s="126" t="s">
        <v>579</v>
      </c>
      <c r="E210" s="125" t="s">
        <v>6</v>
      </c>
      <c r="F210" s="125" t="s">
        <v>6</v>
      </c>
      <c r="G210" s="125" t="s">
        <v>6</v>
      </c>
      <c r="H210" s="127">
        <f>SUM(H211:H230)</f>
        <v>0</v>
      </c>
      <c r="I210" s="127">
        <f>SUM(I211:I230)</f>
        <v>0</v>
      </c>
      <c r="J210" s="127">
        <f>H210+I210</f>
        <v>0</v>
      </c>
      <c r="K210" s="128"/>
      <c r="L210" s="127">
        <f>SUM(L211:L230)</f>
        <v>0.035746</v>
      </c>
      <c r="M210" s="128"/>
      <c r="Y210" s="13" t="s">
        <v>197</v>
      </c>
      <c r="AI210" s="22">
        <f>SUM(Z211:Z230)</f>
        <v>0</v>
      </c>
      <c r="AJ210" s="22">
        <f>SUM(AA211:AA230)</f>
        <v>0</v>
      </c>
      <c r="AK210" s="22">
        <f>SUM(AB211:AB230)</f>
        <v>0</v>
      </c>
    </row>
    <row r="211" spans="1:48" ht="12.75">
      <c r="A211" s="129" t="s">
        <v>72</v>
      </c>
      <c r="B211" s="129" t="s">
        <v>197</v>
      </c>
      <c r="C211" s="129" t="s">
        <v>268</v>
      </c>
      <c r="D211" s="129" t="s">
        <v>580</v>
      </c>
      <c r="E211" s="129" t="s">
        <v>779</v>
      </c>
      <c r="F211" s="130">
        <v>6.2</v>
      </c>
      <c r="G211" s="130">
        <v>0</v>
      </c>
      <c r="H211" s="130">
        <f>F211*AE211</f>
        <v>0</v>
      </c>
      <c r="I211" s="130">
        <f>J211-H211</f>
        <v>0</v>
      </c>
      <c r="J211" s="130">
        <f>F211*G211</f>
        <v>0</v>
      </c>
      <c r="K211" s="130">
        <v>0.00252</v>
      </c>
      <c r="L211" s="130">
        <f>F211*K211</f>
        <v>0.015624</v>
      </c>
      <c r="M211" s="131" t="s">
        <v>803</v>
      </c>
      <c r="P211" s="19">
        <f>IF(AG211="5",J211,0)</f>
        <v>0</v>
      </c>
      <c r="R211" s="19">
        <f>IF(AG211="1",H211,0)</f>
        <v>0</v>
      </c>
      <c r="S211" s="19">
        <f>IF(AG211="1",I211,0)</f>
        <v>0</v>
      </c>
      <c r="T211" s="19">
        <f>IF(AG211="7",H211,0)</f>
        <v>0</v>
      </c>
      <c r="U211" s="19">
        <f>IF(AG211="7",I211,0)</f>
        <v>0</v>
      </c>
      <c r="V211" s="19">
        <f>IF(AG211="2",H211,0)</f>
        <v>0</v>
      </c>
      <c r="W211" s="19">
        <f>IF(AG211="2",I211,0)</f>
        <v>0</v>
      </c>
      <c r="X211" s="19">
        <f>IF(AG211="0",J211,0)</f>
        <v>0</v>
      </c>
      <c r="Y211" s="13" t="s">
        <v>197</v>
      </c>
      <c r="Z211" s="10">
        <f>IF(AD211=0,J211,0)</f>
        <v>0</v>
      </c>
      <c r="AA211" s="10">
        <f>IF(AD211=15,J211,0)</f>
        <v>0</v>
      </c>
      <c r="AB211" s="10">
        <f>IF(AD211=21,J211,0)</f>
        <v>0</v>
      </c>
      <c r="AD211" s="19">
        <v>21</v>
      </c>
      <c r="AE211" s="19">
        <f>G211*0.478836477987421</f>
        <v>0</v>
      </c>
      <c r="AF211" s="19">
        <f>G211*(1-0.478836477987421)</f>
        <v>0</v>
      </c>
      <c r="AG211" s="15" t="s">
        <v>13</v>
      </c>
      <c r="AM211" s="19">
        <f>F211*AE211</f>
        <v>0</v>
      </c>
      <c r="AN211" s="19">
        <f>F211*AF211</f>
        <v>0</v>
      </c>
      <c r="AO211" s="20" t="s">
        <v>830</v>
      </c>
      <c r="AP211" s="20" t="s">
        <v>853</v>
      </c>
      <c r="AQ211" s="13" t="s">
        <v>859</v>
      </c>
      <c r="AS211" s="19">
        <f>AM211+AN211</f>
        <v>0</v>
      </c>
      <c r="AT211" s="19">
        <f>G211/(100-AU211)*100</f>
        <v>0</v>
      </c>
      <c r="AU211" s="19">
        <v>0</v>
      </c>
      <c r="AV211" s="19">
        <f>L211</f>
        <v>0.015624</v>
      </c>
    </row>
    <row r="212" spans="1:13" ht="12.75">
      <c r="A212" s="132"/>
      <c r="B212" s="132"/>
      <c r="C212" s="132"/>
      <c r="D212" s="133" t="s">
        <v>581</v>
      </c>
      <c r="E212" s="132"/>
      <c r="F212" s="134">
        <v>6.2</v>
      </c>
      <c r="G212" s="132"/>
      <c r="H212" s="132"/>
      <c r="I212" s="132"/>
      <c r="J212" s="132"/>
      <c r="K212" s="132"/>
      <c r="L212" s="132"/>
      <c r="M212" s="132"/>
    </row>
    <row r="213" spans="1:48" ht="12.75">
      <c r="A213" s="129" t="s">
        <v>73</v>
      </c>
      <c r="B213" s="129" t="s">
        <v>197</v>
      </c>
      <c r="C213" s="129" t="s">
        <v>216</v>
      </c>
      <c r="D213" s="129" t="s">
        <v>449</v>
      </c>
      <c r="E213" s="129" t="s">
        <v>779</v>
      </c>
      <c r="F213" s="130">
        <v>2.8</v>
      </c>
      <c r="G213" s="130">
        <v>0</v>
      </c>
      <c r="H213" s="130">
        <f>F213*AE213</f>
        <v>0</v>
      </c>
      <c r="I213" s="130">
        <f>J213-H213</f>
        <v>0</v>
      </c>
      <c r="J213" s="130">
        <f>F213*G213</f>
        <v>0</v>
      </c>
      <c r="K213" s="130">
        <v>0.0021</v>
      </c>
      <c r="L213" s="130">
        <f>F213*K213</f>
        <v>0.005879999999999999</v>
      </c>
      <c r="M213" s="131" t="s">
        <v>803</v>
      </c>
      <c r="P213" s="19">
        <f>IF(AG213="5",J213,0)</f>
        <v>0</v>
      </c>
      <c r="R213" s="19">
        <f>IF(AG213="1",H213,0)</f>
        <v>0</v>
      </c>
      <c r="S213" s="19">
        <f>IF(AG213="1",I213,0)</f>
        <v>0</v>
      </c>
      <c r="T213" s="19">
        <f>IF(AG213="7",H213,0)</f>
        <v>0</v>
      </c>
      <c r="U213" s="19">
        <f>IF(AG213="7",I213,0)</f>
        <v>0</v>
      </c>
      <c r="V213" s="19">
        <f>IF(AG213="2",H213,0)</f>
        <v>0</v>
      </c>
      <c r="W213" s="19">
        <f>IF(AG213="2",I213,0)</f>
        <v>0</v>
      </c>
      <c r="X213" s="19">
        <f>IF(AG213="0",J213,0)</f>
        <v>0</v>
      </c>
      <c r="Y213" s="13" t="s">
        <v>197</v>
      </c>
      <c r="Z213" s="10">
        <f>IF(AD213=0,J213,0)</f>
        <v>0</v>
      </c>
      <c r="AA213" s="10">
        <f>IF(AD213=15,J213,0)</f>
        <v>0</v>
      </c>
      <c r="AB213" s="10">
        <f>IF(AD213=21,J213,0)</f>
        <v>0</v>
      </c>
      <c r="AD213" s="19">
        <v>21</v>
      </c>
      <c r="AE213" s="19">
        <f>G213*0.385046382189239</f>
        <v>0</v>
      </c>
      <c r="AF213" s="19">
        <f>G213*(1-0.385046382189239)</f>
        <v>0</v>
      </c>
      <c r="AG213" s="15" t="s">
        <v>13</v>
      </c>
      <c r="AM213" s="19">
        <f>F213*AE213</f>
        <v>0</v>
      </c>
      <c r="AN213" s="19">
        <f>F213*AF213</f>
        <v>0</v>
      </c>
      <c r="AO213" s="20" t="s">
        <v>830</v>
      </c>
      <c r="AP213" s="20" t="s">
        <v>853</v>
      </c>
      <c r="AQ213" s="13" t="s">
        <v>859</v>
      </c>
      <c r="AS213" s="19">
        <f>AM213+AN213</f>
        <v>0</v>
      </c>
      <c r="AT213" s="19">
        <f>G213/(100-AU213)*100</f>
        <v>0</v>
      </c>
      <c r="AU213" s="19">
        <v>0</v>
      </c>
      <c r="AV213" s="19">
        <f>L213</f>
        <v>0.005879999999999999</v>
      </c>
    </row>
    <row r="214" spans="1:13" ht="12.75">
      <c r="A214" s="132"/>
      <c r="B214" s="132"/>
      <c r="C214" s="132"/>
      <c r="D214" s="133" t="s">
        <v>582</v>
      </c>
      <c r="E214" s="132"/>
      <c r="F214" s="134">
        <v>2.8</v>
      </c>
      <c r="G214" s="132"/>
      <c r="H214" s="132"/>
      <c r="I214" s="132"/>
      <c r="J214" s="132"/>
      <c r="K214" s="132"/>
      <c r="L214" s="132"/>
      <c r="M214" s="132"/>
    </row>
    <row r="215" spans="1:48" ht="12.75">
      <c r="A215" s="129" t="s">
        <v>74</v>
      </c>
      <c r="B215" s="129" t="s">
        <v>197</v>
      </c>
      <c r="C215" s="129" t="s">
        <v>269</v>
      </c>
      <c r="D215" s="129" t="s">
        <v>583</v>
      </c>
      <c r="E215" s="129" t="s">
        <v>779</v>
      </c>
      <c r="F215" s="130">
        <v>19.2</v>
      </c>
      <c r="G215" s="130">
        <v>0</v>
      </c>
      <c r="H215" s="130">
        <f>F215*AE215</f>
        <v>0</v>
      </c>
      <c r="I215" s="130">
        <f>J215-H215</f>
        <v>0</v>
      </c>
      <c r="J215" s="130">
        <f>F215*G215</f>
        <v>0</v>
      </c>
      <c r="K215" s="130">
        <v>0</v>
      </c>
      <c r="L215" s="130">
        <f>F215*K215</f>
        <v>0</v>
      </c>
      <c r="M215" s="131" t="s">
        <v>803</v>
      </c>
      <c r="P215" s="19">
        <f>IF(AG215="5",J215,0)</f>
        <v>0</v>
      </c>
      <c r="R215" s="19">
        <f>IF(AG215="1",H215,0)</f>
        <v>0</v>
      </c>
      <c r="S215" s="19">
        <f>IF(AG215="1",I215,0)</f>
        <v>0</v>
      </c>
      <c r="T215" s="19">
        <f>IF(AG215="7",H215,0)</f>
        <v>0</v>
      </c>
      <c r="U215" s="19">
        <f>IF(AG215="7",I215,0)</f>
        <v>0</v>
      </c>
      <c r="V215" s="19">
        <f>IF(AG215="2",H215,0)</f>
        <v>0</v>
      </c>
      <c r="W215" s="19">
        <f>IF(AG215="2",I215,0)</f>
        <v>0</v>
      </c>
      <c r="X215" s="19">
        <f>IF(AG215="0",J215,0)</f>
        <v>0</v>
      </c>
      <c r="Y215" s="13" t="s">
        <v>197</v>
      </c>
      <c r="Z215" s="10">
        <f>IF(AD215=0,J215,0)</f>
        <v>0</v>
      </c>
      <c r="AA215" s="10">
        <f>IF(AD215=15,J215,0)</f>
        <v>0</v>
      </c>
      <c r="AB215" s="10">
        <f>IF(AD215=21,J215,0)</f>
        <v>0</v>
      </c>
      <c r="AD215" s="19">
        <v>21</v>
      </c>
      <c r="AE215" s="19">
        <f>G215*0.0273170731707317</f>
        <v>0</v>
      </c>
      <c r="AF215" s="19">
        <f>G215*(1-0.0273170731707317)</f>
        <v>0</v>
      </c>
      <c r="AG215" s="15" t="s">
        <v>13</v>
      </c>
      <c r="AM215" s="19">
        <f>F215*AE215</f>
        <v>0</v>
      </c>
      <c r="AN215" s="19">
        <f>F215*AF215</f>
        <v>0</v>
      </c>
      <c r="AO215" s="20" t="s">
        <v>830</v>
      </c>
      <c r="AP215" s="20" t="s">
        <v>853</v>
      </c>
      <c r="AQ215" s="13" t="s">
        <v>859</v>
      </c>
      <c r="AS215" s="19">
        <f>AM215+AN215</f>
        <v>0</v>
      </c>
      <c r="AT215" s="19">
        <f>G215/(100-AU215)*100</f>
        <v>0</v>
      </c>
      <c r="AU215" s="19">
        <v>0</v>
      </c>
      <c r="AV215" s="19">
        <f>L215</f>
        <v>0</v>
      </c>
    </row>
    <row r="216" spans="1:13" ht="12.75">
      <c r="A216" s="132"/>
      <c r="B216" s="132"/>
      <c r="C216" s="132"/>
      <c r="D216" s="133" t="s">
        <v>581</v>
      </c>
      <c r="E216" s="132"/>
      <c r="F216" s="134">
        <v>6.2</v>
      </c>
      <c r="G216" s="132"/>
      <c r="H216" s="132"/>
      <c r="I216" s="132"/>
      <c r="J216" s="132"/>
      <c r="K216" s="132"/>
      <c r="L216" s="132"/>
      <c r="M216" s="132"/>
    </row>
    <row r="217" spans="1:13" ht="12.75">
      <c r="A217" s="132"/>
      <c r="B217" s="132"/>
      <c r="C217" s="132"/>
      <c r="D217" s="133" t="s">
        <v>582</v>
      </c>
      <c r="E217" s="132"/>
      <c r="F217" s="134">
        <v>2.8</v>
      </c>
      <c r="G217" s="132"/>
      <c r="H217" s="132"/>
      <c r="I217" s="132"/>
      <c r="J217" s="132"/>
      <c r="K217" s="132"/>
      <c r="L217" s="132"/>
      <c r="M217" s="132"/>
    </row>
    <row r="218" spans="1:13" ht="12.75">
      <c r="A218" s="132"/>
      <c r="B218" s="132"/>
      <c r="C218" s="132"/>
      <c r="D218" s="133" t="s">
        <v>584</v>
      </c>
      <c r="E218" s="132"/>
      <c r="F218" s="134">
        <v>3.2</v>
      </c>
      <c r="G218" s="132"/>
      <c r="H218" s="132"/>
      <c r="I218" s="132"/>
      <c r="J218" s="132"/>
      <c r="K218" s="132"/>
      <c r="L218" s="132"/>
      <c r="M218" s="132"/>
    </row>
    <row r="219" spans="1:13" ht="12.75">
      <c r="A219" s="132"/>
      <c r="B219" s="132"/>
      <c r="C219" s="132"/>
      <c r="D219" s="133" t="s">
        <v>585</v>
      </c>
      <c r="E219" s="132"/>
      <c r="F219" s="134">
        <v>7</v>
      </c>
      <c r="G219" s="132"/>
      <c r="H219" s="132"/>
      <c r="I219" s="132"/>
      <c r="J219" s="132"/>
      <c r="K219" s="132"/>
      <c r="L219" s="132"/>
      <c r="M219" s="132"/>
    </row>
    <row r="220" spans="1:48" ht="12.75">
      <c r="A220" s="129" t="s">
        <v>75</v>
      </c>
      <c r="B220" s="129" t="s">
        <v>197</v>
      </c>
      <c r="C220" s="129" t="s">
        <v>270</v>
      </c>
      <c r="D220" s="129" t="s">
        <v>586</v>
      </c>
      <c r="E220" s="129" t="s">
        <v>779</v>
      </c>
      <c r="F220" s="130">
        <v>3.2</v>
      </c>
      <c r="G220" s="130">
        <v>0</v>
      </c>
      <c r="H220" s="130">
        <f>F220*AE220</f>
        <v>0</v>
      </c>
      <c r="I220" s="130">
        <f>J220-H220</f>
        <v>0</v>
      </c>
      <c r="J220" s="130">
        <f>F220*G220</f>
        <v>0</v>
      </c>
      <c r="K220" s="130">
        <v>0.00171</v>
      </c>
      <c r="L220" s="130">
        <f>F220*K220</f>
        <v>0.005472</v>
      </c>
      <c r="M220" s="131" t="s">
        <v>803</v>
      </c>
      <c r="P220" s="19">
        <f>IF(AG220="5",J220,0)</f>
        <v>0</v>
      </c>
      <c r="R220" s="19">
        <f>IF(AG220="1",H220,0)</f>
        <v>0</v>
      </c>
      <c r="S220" s="19">
        <f>IF(AG220="1",I220,0)</f>
        <v>0</v>
      </c>
      <c r="T220" s="19">
        <f>IF(AG220="7",H220,0)</f>
        <v>0</v>
      </c>
      <c r="U220" s="19">
        <f>IF(AG220="7",I220,0)</f>
        <v>0</v>
      </c>
      <c r="V220" s="19">
        <f>IF(AG220="2",H220,0)</f>
        <v>0</v>
      </c>
      <c r="W220" s="19">
        <f>IF(AG220="2",I220,0)</f>
        <v>0</v>
      </c>
      <c r="X220" s="19">
        <f>IF(AG220="0",J220,0)</f>
        <v>0</v>
      </c>
      <c r="Y220" s="13" t="s">
        <v>197</v>
      </c>
      <c r="Z220" s="10">
        <f>IF(AD220=0,J220,0)</f>
        <v>0</v>
      </c>
      <c r="AA220" s="10">
        <f>IF(AD220=15,J220,0)</f>
        <v>0</v>
      </c>
      <c r="AB220" s="10">
        <f>IF(AD220=21,J220,0)</f>
        <v>0</v>
      </c>
      <c r="AD220" s="19">
        <v>21</v>
      </c>
      <c r="AE220" s="19">
        <f>G220*0.380037593984962</f>
        <v>0</v>
      </c>
      <c r="AF220" s="19">
        <f>G220*(1-0.380037593984962)</f>
        <v>0</v>
      </c>
      <c r="AG220" s="15" t="s">
        <v>13</v>
      </c>
      <c r="AM220" s="19">
        <f>F220*AE220</f>
        <v>0</v>
      </c>
      <c r="AN220" s="19">
        <f>F220*AF220</f>
        <v>0</v>
      </c>
      <c r="AO220" s="20" t="s">
        <v>830</v>
      </c>
      <c r="AP220" s="20" t="s">
        <v>853</v>
      </c>
      <c r="AQ220" s="13" t="s">
        <v>859</v>
      </c>
      <c r="AS220" s="19">
        <f>AM220+AN220</f>
        <v>0</v>
      </c>
      <c r="AT220" s="19">
        <f>G220/(100-AU220)*100</f>
        <v>0</v>
      </c>
      <c r="AU220" s="19">
        <v>0</v>
      </c>
      <c r="AV220" s="19">
        <f>L220</f>
        <v>0.005472</v>
      </c>
    </row>
    <row r="221" spans="1:13" ht="12.75">
      <c r="A221" s="132"/>
      <c r="B221" s="132"/>
      <c r="C221" s="132"/>
      <c r="D221" s="133" t="s">
        <v>587</v>
      </c>
      <c r="E221" s="132"/>
      <c r="F221" s="134">
        <v>3.2</v>
      </c>
      <c r="G221" s="132"/>
      <c r="H221" s="132"/>
      <c r="I221" s="132"/>
      <c r="J221" s="132"/>
      <c r="K221" s="132"/>
      <c r="L221" s="132"/>
      <c r="M221" s="132"/>
    </row>
    <row r="222" spans="1:48" ht="12.75">
      <c r="A222" s="129" t="s">
        <v>76</v>
      </c>
      <c r="B222" s="129" t="s">
        <v>197</v>
      </c>
      <c r="C222" s="129" t="s">
        <v>271</v>
      </c>
      <c r="D222" s="129" t="s">
        <v>588</v>
      </c>
      <c r="E222" s="129" t="s">
        <v>779</v>
      </c>
      <c r="F222" s="130">
        <v>5</v>
      </c>
      <c r="G222" s="130">
        <v>0</v>
      </c>
      <c r="H222" s="130">
        <f aca="true" t="shared" si="0" ref="H222:H230">F222*AE222</f>
        <v>0</v>
      </c>
      <c r="I222" s="130">
        <f aca="true" t="shared" si="1" ref="I222:I230">J222-H222</f>
        <v>0</v>
      </c>
      <c r="J222" s="130">
        <f aca="true" t="shared" si="2" ref="J222:J230">F222*G222</f>
        <v>0</v>
      </c>
      <c r="K222" s="130">
        <v>0.00047</v>
      </c>
      <c r="L222" s="130">
        <f aca="true" t="shared" si="3" ref="L222:L230">F222*K222</f>
        <v>0.00235</v>
      </c>
      <c r="M222" s="131" t="s">
        <v>803</v>
      </c>
      <c r="P222" s="19">
        <f aca="true" t="shared" si="4" ref="P222:P230">IF(AG222="5",J222,0)</f>
        <v>0</v>
      </c>
      <c r="R222" s="19">
        <f aca="true" t="shared" si="5" ref="R222:R230">IF(AG222="1",H222,0)</f>
        <v>0</v>
      </c>
      <c r="S222" s="19">
        <f aca="true" t="shared" si="6" ref="S222:S230">IF(AG222="1",I222,0)</f>
        <v>0</v>
      </c>
      <c r="T222" s="19">
        <f aca="true" t="shared" si="7" ref="T222:T230">IF(AG222="7",H222,0)</f>
        <v>0</v>
      </c>
      <c r="U222" s="19">
        <f aca="true" t="shared" si="8" ref="U222:U230">IF(AG222="7",I222,0)</f>
        <v>0</v>
      </c>
      <c r="V222" s="19">
        <f aca="true" t="shared" si="9" ref="V222:V230">IF(AG222="2",H222,0)</f>
        <v>0</v>
      </c>
      <c r="W222" s="19">
        <f aca="true" t="shared" si="10" ref="W222:W230">IF(AG222="2",I222,0)</f>
        <v>0</v>
      </c>
      <c r="X222" s="19">
        <f aca="true" t="shared" si="11" ref="X222:X230">IF(AG222="0",J222,0)</f>
        <v>0</v>
      </c>
      <c r="Y222" s="13" t="s">
        <v>197</v>
      </c>
      <c r="Z222" s="10">
        <f aca="true" t="shared" si="12" ref="Z222:Z230">IF(AD222=0,J222,0)</f>
        <v>0</v>
      </c>
      <c r="AA222" s="10">
        <f aca="true" t="shared" si="13" ref="AA222:AA230">IF(AD222=15,J222,0)</f>
        <v>0</v>
      </c>
      <c r="AB222" s="10">
        <f aca="true" t="shared" si="14" ref="AB222:AB230">IF(AD222=21,J222,0)</f>
        <v>0</v>
      </c>
      <c r="AD222" s="19">
        <v>21</v>
      </c>
      <c r="AE222" s="19">
        <f>G222*0.319267734553776</f>
        <v>0</v>
      </c>
      <c r="AF222" s="19">
        <f>G222*(1-0.319267734553776)</f>
        <v>0</v>
      </c>
      <c r="AG222" s="15" t="s">
        <v>13</v>
      </c>
      <c r="AM222" s="19">
        <f aca="true" t="shared" si="15" ref="AM222:AM230">F222*AE222</f>
        <v>0</v>
      </c>
      <c r="AN222" s="19">
        <f aca="true" t="shared" si="16" ref="AN222:AN230">F222*AF222</f>
        <v>0</v>
      </c>
      <c r="AO222" s="20" t="s">
        <v>830</v>
      </c>
      <c r="AP222" s="20" t="s">
        <v>853</v>
      </c>
      <c r="AQ222" s="13" t="s">
        <v>859</v>
      </c>
      <c r="AS222" s="19">
        <f aca="true" t="shared" si="17" ref="AS222:AS230">AM222+AN222</f>
        <v>0</v>
      </c>
      <c r="AT222" s="19">
        <f aca="true" t="shared" si="18" ref="AT222:AT230">G222/(100-AU222)*100</f>
        <v>0</v>
      </c>
      <c r="AU222" s="19">
        <v>0</v>
      </c>
      <c r="AV222" s="19">
        <f aca="true" t="shared" si="19" ref="AV222:AV230">L222</f>
        <v>0.00235</v>
      </c>
    </row>
    <row r="223" spans="1:48" ht="12.75">
      <c r="A223" s="129" t="s">
        <v>77</v>
      </c>
      <c r="B223" s="129" t="s">
        <v>197</v>
      </c>
      <c r="C223" s="129" t="s">
        <v>272</v>
      </c>
      <c r="D223" s="129" t="s">
        <v>589</v>
      </c>
      <c r="E223" s="129" t="s">
        <v>779</v>
      </c>
      <c r="F223" s="130">
        <v>1</v>
      </c>
      <c r="G223" s="130">
        <v>0</v>
      </c>
      <c r="H223" s="130">
        <f t="shared" si="0"/>
        <v>0</v>
      </c>
      <c r="I223" s="130">
        <f t="shared" si="1"/>
        <v>0</v>
      </c>
      <c r="J223" s="130">
        <f t="shared" si="2"/>
        <v>0</v>
      </c>
      <c r="K223" s="130">
        <v>0.0007</v>
      </c>
      <c r="L223" s="130">
        <f t="shared" si="3"/>
        <v>0.0007</v>
      </c>
      <c r="M223" s="131" t="s">
        <v>803</v>
      </c>
      <c r="P223" s="19">
        <f t="shared" si="4"/>
        <v>0</v>
      </c>
      <c r="R223" s="19">
        <f t="shared" si="5"/>
        <v>0</v>
      </c>
      <c r="S223" s="19">
        <f t="shared" si="6"/>
        <v>0</v>
      </c>
      <c r="T223" s="19">
        <f t="shared" si="7"/>
        <v>0</v>
      </c>
      <c r="U223" s="19">
        <f t="shared" si="8"/>
        <v>0</v>
      </c>
      <c r="V223" s="19">
        <f t="shared" si="9"/>
        <v>0</v>
      </c>
      <c r="W223" s="19">
        <f t="shared" si="10"/>
        <v>0</v>
      </c>
      <c r="X223" s="19">
        <f t="shared" si="11"/>
        <v>0</v>
      </c>
      <c r="Y223" s="13" t="s">
        <v>197</v>
      </c>
      <c r="Z223" s="10">
        <f t="shared" si="12"/>
        <v>0</v>
      </c>
      <c r="AA223" s="10">
        <f t="shared" si="13"/>
        <v>0</v>
      </c>
      <c r="AB223" s="10">
        <f t="shared" si="14"/>
        <v>0</v>
      </c>
      <c r="AD223" s="19">
        <v>21</v>
      </c>
      <c r="AE223" s="19">
        <f>G223*0.341757469244288</f>
        <v>0</v>
      </c>
      <c r="AF223" s="19">
        <f>G223*(1-0.341757469244288)</f>
        <v>0</v>
      </c>
      <c r="AG223" s="15" t="s">
        <v>13</v>
      </c>
      <c r="AM223" s="19">
        <f t="shared" si="15"/>
        <v>0</v>
      </c>
      <c r="AN223" s="19">
        <f t="shared" si="16"/>
        <v>0</v>
      </c>
      <c r="AO223" s="20" t="s">
        <v>830</v>
      </c>
      <c r="AP223" s="20" t="s">
        <v>853</v>
      </c>
      <c r="AQ223" s="13" t="s">
        <v>859</v>
      </c>
      <c r="AS223" s="19">
        <f t="shared" si="17"/>
        <v>0</v>
      </c>
      <c r="AT223" s="19">
        <f t="shared" si="18"/>
        <v>0</v>
      </c>
      <c r="AU223" s="19">
        <v>0</v>
      </c>
      <c r="AV223" s="19">
        <f t="shared" si="19"/>
        <v>0.0007</v>
      </c>
    </row>
    <row r="224" spans="1:48" ht="12.75">
      <c r="A224" s="129" t="s">
        <v>78</v>
      </c>
      <c r="B224" s="129" t="s">
        <v>197</v>
      </c>
      <c r="C224" s="129" t="s">
        <v>273</v>
      </c>
      <c r="D224" s="129" t="s">
        <v>590</v>
      </c>
      <c r="E224" s="129" t="s">
        <v>779</v>
      </c>
      <c r="F224" s="130">
        <v>1</v>
      </c>
      <c r="G224" s="130">
        <v>0</v>
      </c>
      <c r="H224" s="130">
        <f t="shared" si="0"/>
        <v>0</v>
      </c>
      <c r="I224" s="130">
        <f t="shared" si="1"/>
        <v>0</v>
      </c>
      <c r="J224" s="130">
        <f t="shared" si="2"/>
        <v>0</v>
      </c>
      <c r="K224" s="130">
        <v>0.00152</v>
      </c>
      <c r="L224" s="130">
        <f t="shared" si="3"/>
        <v>0.00152</v>
      </c>
      <c r="M224" s="131" t="s">
        <v>803</v>
      </c>
      <c r="P224" s="19">
        <f t="shared" si="4"/>
        <v>0</v>
      </c>
      <c r="R224" s="19">
        <f t="shared" si="5"/>
        <v>0</v>
      </c>
      <c r="S224" s="19">
        <f t="shared" si="6"/>
        <v>0</v>
      </c>
      <c r="T224" s="19">
        <f t="shared" si="7"/>
        <v>0</v>
      </c>
      <c r="U224" s="19">
        <f t="shared" si="8"/>
        <v>0</v>
      </c>
      <c r="V224" s="19">
        <f t="shared" si="9"/>
        <v>0</v>
      </c>
      <c r="W224" s="19">
        <f t="shared" si="10"/>
        <v>0</v>
      </c>
      <c r="X224" s="19">
        <f t="shared" si="11"/>
        <v>0</v>
      </c>
      <c r="Y224" s="13" t="s">
        <v>197</v>
      </c>
      <c r="Z224" s="10">
        <f t="shared" si="12"/>
        <v>0</v>
      </c>
      <c r="AA224" s="10">
        <f t="shared" si="13"/>
        <v>0</v>
      </c>
      <c r="AB224" s="10">
        <f t="shared" si="14"/>
        <v>0</v>
      </c>
      <c r="AD224" s="19">
        <v>21</v>
      </c>
      <c r="AE224" s="19">
        <f>G224*0.304721030042918</f>
        <v>0</v>
      </c>
      <c r="AF224" s="19">
        <f>G224*(1-0.304721030042918)</f>
        <v>0</v>
      </c>
      <c r="AG224" s="15" t="s">
        <v>13</v>
      </c>
      <c r="AM224" s="19">
        <f t="shared" si="15"/>
        <v>0</v>
      </c>
      <c r="AN224" s="19">
        <f t="shared" si="16"/>
        <v>0</v>
      </c>
      <c r="AO224" s="20" t="s">
        <v>830</v>
      </c>
      <c r="AP224" s="20" t="s">
        <v>853</v>
      </c>
      <c r="AQ224" s="13" t="s">
        <v>859</v>
      </c>
      <c r="AS224" s="19">
        <f t="shared" si="17"/>
        <v>0</v>
      </c>
      <c r="AT224" s="19">
        <f t="shared" si="18"/>
        <v>0</v>
      </c>
      <c r="AU224" s="19">
        <v>0</v>
      </c>
      <c r="AV224" s="19">
        <f t="shared" si="19"/>
        <v>0.00152</v>
      </c>
    </row>
    <row r="225" spans="1:48" ht="12.75">
      <c r="A225" s="129" t="s">
        <v>79</v>
      </c>
      <c r="B225" s="129" t="s">
        <v>197</v>
      </c>
      <c r="C225" s="129" t="s">
        <v>274</v>
      </c>
      <c r="D225" s="129" t="s">
        <v>591</v>
      </c>
      <c r="E225" s="129" t="s">
        <v>777</v>
      </c>
      <c r="F225" s="130">
        <v>2</v>
      </c>
      <c r="G225" s="130">
        <v>0</v>
      </c>
      <c r="H225" s="130">
        <f t="shared" si="0"/>
        <v>0</v>
      </c>
      <c r="I225" s="130">
        <f t="shared" si="1"/>
        <v>0</v>
      </c>
      <c r="J225" s="130">
        <f t="shared" si="2"/>
        <v>0</v>
      </c>
      <c r="K225" s="130">
        <v>0</v>
      </c>
      <c r="L225" s="130">
        <f t="shared" si="3"/>
        <v>0</v>
      </c>
      <c r="M225" s="131" t="s">
        <v>803</v>
      </c>
      <c r="P225" s="19">
        <f t="shared" si="4"/>
        <v>0</v>
      </c>
      <c r="R225" s="19">
        <f t="shared" si="5"/>
        <v>0</v>
      </c>
      <c r="S225" s="19">
        <f t="shared" si="6"/>
        <v>0</v>
      </c>
      <c r="T225" s="19">
        <f t="shared" si="7"/>
        <v>0</v>
      </c>
      <c r="U225" s="19">
        <f t="shared" si="8"/>
        <v>0</v>
      </c>
      <c r="V225" s="19">
        <f t="shared" si="9"/>
        <v>0</v>
      </c>
      <c r="W225" s="19">
        <f t="shared" si="10"/>
        <v>0</v>
      </c>
      <c r="X225" s="19">
        <f t="shared" si="11"/>
        <v>0</v>
      </c>
      <c r="Y225" s="13" t="s">
        <v>197</v>
      </c>
      <c r="Z225" s="10">
        <f t="shared" si="12"/>
        <v>0</v>
      </c>
      <c r="AA225" s="10">
        <f t="shared" si="13"/>
        <v>0</v>
      </c>
      <c r="AB225" s="10">
        <f t="shared" si="14"/>
        <v>0</v>
      </c>
      <c r="AD225" s="19">
        <v>21</v>
      </c>
      <c r="AE225" s="19">
        <f>G225*0</f>
        <v>0</v>
      </c>
      <c r="AF225" s="19">
        <f>G225*(1-0)</f>
        <v>0</v>
      </c>
      <c r="AG225" s="15" t="s">
        <v>13</v>
      </c>
      <c r="AM225" s="19">
        <f t="shared" si="15"/>
        <v>0</v>
      </c>
      <c r="AN225" s="19">
        <f t="shared" si="16"/>
        <v>0</v>
      </c>
      <c r="AO225" s="20" t="s">
        <v>830</v>
      </c>
      <c r="AP225" s="20" t="s">
        <v>853</v>
      </c>
      <c r="AQ225" s="13" t="s">
        <v>859</v>
      </c>
      <c r="AS225" s="19">
        <f t="shared" si="17"/>
        <v>0</v>
      </c>
      <c r="AT225" s="19">
        <f t="shared" si="18"/>
        <v>0</v>
      </c>
      <c r="AU225" s="19">
        <v>0</v>
      </c>
      <c r="AV225" s="19">
        <f t="shared" si="19"/>
        <v>0</v>
      </c>
    </row>
    <row r="226" spans="1:48" ht="12.75">
      <c r="A226" s="129" t="s">
        <v>80</v>
      </c>
      <c r="B226" s="129" t="s">
        <v>197</v>
      </c>
      <c r="C226" s="129" t="s">
        <v>275</v>
      </c>
      <c r="D226" s="129" t="s">
        <v>592</v>
      </c>
      <c r="E226" s="129" t="s">
        <v>777</v>
      </c>
      <c r="F226" s="130">
        <v>1</v>
      </c>
      <c r="G226" s="130">
        <v>0</v>
      </c>
      <c r="H226" s="130">
        <f t="shared" si="0"/>
        <v>0</v>
      </c>
      <c r="I226" s="130">
        <f t="shared" si="1"/>
        <v>0</v>
      </c>
      <c r="J226" s="130">
        <f t="shared" si="2"/>
        <v>0</v>
      </c>
      <c r="K226" s="130">
        <v>0</v>
      </c>
      <c r="L226" s="130">
        <f t="shared" si="3"/>
        <v>0</v>
      </c>
      <c r="M226" s="131" t="s">
        <v>803</v>
      </c>
      <c r="P226" s="19">
        <f t="shared" si="4"/>
        <v>0</v>
      </c>
      <c r="R226" s="19">
        <f t="shared" si="5"/>
        <v>0</v>
      </c>
      <c r="S226" s="19">
        <f t="shared" si="6"/>
        <v>0</v>
      </c>
      <c r="T226" s="19">
        <f t="shared" si="7"/>
        <v>0</v>
      </c>
      <c r="U226" s="19">
        <f t="shared" si="8"/>
        <v>0</v>
      </c>
      <c r="V226" s="19">
        <f t="shared" si="9"/>
        <v>0</v>
      </c>
      <c r="W226" s="19">
        <f t="shared" si="10"/>
        <v>0</v>
      </c>
      <c r="X226" s="19">
        <f t="shared" si="11"/>
        <v>0</v>
      </c>
      <c r="Y226" s="13" t="s">
        <v>197</v>
      </c>
      <c r="Z226" s="10">
        <f t="shared" si="12"/>
        <v>0</v>
      </c>
      <c r="AA226" s="10">
        <f t="shared" si="13"/>
        <v>0</v>
      </c>
      <c r="AB226" s="10">
        <f t="shared" si="14"/>
        <v>0</v>
      </c>
      <c r="AD226" s="19">
        <v>21</v>
      </c>
      <c r="AE226" s="19">
        <f>G226*0</f>
        <v>0</v>
      </c>
      <c r="AF226" s="19">
        <f>G226*(1-0)</f>
        <v>0</v>
      </c>
      <c r="AG226" s="15" t="s">
        <v>13</v>
      </c>
      <c r="AM226" s="19">
        <f t="shared" si="15"/>
        <v>0</v>
      </c>
      <c r="AN226" s="19">
        <f t="shared" si="16"/>
        <v>0</v>
      </c>
      <c r="AO226" s="20" t="s">
        <v>830</v>
      </c>
      <c r="AP226" s="20" t="s">
        <v>853</v>
      </c>
      <c r="AQ226" s="13" t="s">
        <v>859</v>
      </c>
      <c r="AS226" s="19">
        <f t="shared" si="17"/>
        <v>0</v>
      </c>
      <c r="AT226" s="19">
        <f t="shared" si="18"/>
        <v>0</v>
      </c>
      <c r="AU226" s="19">
        <v>0</v>
      </c>
      <c r="AV226" s="19">
        <f t="shared" si="19"/>
        <v>0</v>
      </c>
    </row>
    <row r="227" spans="1:48" ht="12.75">
      <c r="A227" s="129" t="s">
        <v>81</v>
      </c>
      <c r="B227" s="129" t="s">
        <v>197</v>
      </c>
      <c r="C227" s="129" t="s">
        <v>276</v>
      </c>
      <c r="D227" s="129" t="s">
        <v>593</v>
      </c>
      <c r="E227" s="129" t="s">
        <v>777</v>
      </c>
      <c r="F227" s="130">
        <v>1</v>
      </c>
      <c r="G227" s="130">
        <v>0</v>
      </c>
      <c r="H227" s="130">
        <f t="shared" si="0"/>
        <v>0</v>
      </c>
      <c r="I227" s="130">
        <f t="shared" si="1"/>
        <v>0</v>
      </c>
      <c r="J227" s="130">
        <f t="shared" si="2"/>
        <v>0</v>
      </c>
      <c r="K227" s="130">
        <v>0</v>
      </c>
      <c r="L227" s="130">
        <f t="shared" si="3"/>
        <v>0</v>
      </c>
      <c r="M227" s="131" t="s">
        <v>803</v>
      </c>
      <c r="P227" s="19">
        <f t="shared" si="4"/>
        <v>0</v>
      </c>
      <c r="R227" s="19">
        <f t="shared" si="5"/>
        <v>0</v>
      </c>
      <c r="S227" s="19">
        <f t="shared" si="6"/>
        <v>0</v>
      </c>
      <c r="T227" s="19">
        <f t="shared" si="7"/>
        <v>0</v>
      </c>
      <c r="U227" s="19">
        <f t="shared" si="8"/>
        <v>0</v>
      </c>
      <c r="V227" s="19">
        <f t="shared" si="9"/>
        <v>0</v>
      </c>
      <c r="W227" s="19">
        <f t="shared" si="10"/>
        <v>0</v>
      </c>
      <c r="X227" s="19">
        <f t="shared" si="11"/>
        <v>0</v>
      </c>
      <c r="Y227" s="13" t="s">
        <v>197</v>
      </c>
      <c r="Z227" s="10">
        <f t="shared" si="12"/>
        <v>0</v>
      </c>
      <c r="AA227" s="10">
        <f t="shared" si="13"/>
        <v>0</v>
      </c>
      <c r="AB227" s="10">
        <f t="shared" si="14"/>
        <v>0</v>
      </c>
      <c r="AD227" s="19">
        <v>21</v>
      </c>
      <c r="AE227" s="19">
        <f>G227*0</f>
        <v>0</v>
      </c>
      <c r="AF227" s="19">
        <f>G227*(1-0)</f>
        <v>0</v>
      </c>
      <c r="AG227" s="15" t="s">
        <v>13</v>
      </c>
      <c r="AM227" s="19">
        <f t="shared" si="15"/>
        <v>0</v>
      </c>
      <c r="AN227" s="19">
        <f t="shared" si="16"/>
        <v>0</v>
      </c>
      <c r="AO227" s="20" t="s">
        <v>830</v>
      </c>
      <c r="AP227" s="20" t="s">
        <v>853</v>
      </c>
      <c r="AQ227" s="13" t="s">
        <v>859</v>
      </c>
      <c r="AS227" s="19">
        <f t="shared" si="17"/>
        <v>0</v>
      </c>
      <c r="AT227" s="19">
        <f t="shared" si="18"/>
        <v>0</v>
      </c>
      <c r="AU227" s="19">
        <v>0</v>
      </c>
      <c r="AV227" s="19">
        <f t="shared" si="19"/>
        <v>0</v>
      </c>
    </row>
    <row r="228" spans="1:48" ht="12.75">
      <c r="A228" s="129" t="s">
        <v>82</v>
      </c>
      <c r="B228" s="129" t="s">
        <v>197</v>
      </c>
      <c r="C228" s="129" t="s">
        <v>277</v>
      </c>
      <c r="D228" s="129" t="s">
        <v>594</v>
      </c>
      <c r="E228" s="129" t="s">
        <v>777</v>
      </c>
      <c r="F228" s="130">
        <v>1</v>
      </c>
      <c r="G228" s="130">
        <v>0</v>
      </c>
      <c r="H228" s="130">
        <f t="shared" si="0"/>
        <v>0</v>
      </c>
      <c r="I228" s="130">
        <f t="shared" si="1"/>
        <v>0</v>
      </c>
      <c r="J228" s="130">
        <f t="shared" si="2"/>
        <v>0</v>
      </c>
      <c r="K228" s="130">
        <v>0.00027</v>
      </c>
      <c r="L228" s="130">
        <f t="shared" si="3"/>
        <v>0.00027</v>
      </c>
      <c r="M228" s="131" t="s">
        <v>803</v>
      </c>
      <c r="P228" s="19">
        <f t="shared" si="4"/>
        <v>0</v>
      </c>
      <c r="R228" s="19">
        <f t="shared" si="5"/>
        <v>0</v>
      </c>
      <c r="S228" s="19">
        <f t="shared" si="6"/>
        <v>0</v>
      </c>
      <c r="T228" s="19">
        <f t="shared" si="7"/>
        <v>0</v>
      </c>
      <c r="U228" s="19">
        <f t="shared" si="8"/>
        <v>0</v>
      </c>
      <c r="V228" s="19">
        <f t="shared" si="9"/>
        <v>0</v>
      </c>
      <c r="W228" s="19">
        <f t="shared" si="10"/>
        <v>0</v>
      </c>
      <c r="X228" s="19">
        <f t="shared" si="11"/>
        <v>0</v>
      </c>
      <c r="Y228" s="13" t="s">
        <v>197</v>
      </c>
      <c r="Z228" s="10">
        <f t="shared" si="12"/>
        <v>0</v>
      </c>
      <c r="AA228" s="10">
        <f t="shared" si="13"/>
        <v>0</v>
      </c>
      <c r="AB228" s="10">
        <f t="shared" si="14"/>
        <v>0</v>
      </c>
      <c r="AD228" s="19">
        <v>21</v>
      </c>
      <c r="AE228" s="19">
        <f>G228*0.811603053435115</f>
        <v>0</v>
      </c>
      <c r="AF228" s="19">
        <f>G228*(1-0.811603053435115)</f>
        <v>0</v>
      </c>
      <c r="AG228" s="15" t="s">
        <v>13</v>
      </c>
      <c r="AM228" s="19">
        <f t="shared" si="15"/>
        <v>0</v>
      </c>
      <c r="AN228" s="19">
        <f t="shared" si="16"/>
        <v>0</v>
      </c>
      <c r="AO228" s="20" t="s">
        <v>830</v>
      </c>
      <c r="AP228" s="20" t="s">
        <v>853</v>
      </c>
      <c r="AQ228" s="13" t="s">
        <v>859</v>
      </c>
      <c r="AS228" s="19">
        <f t="shared" si="17"/>
        <v>0</v>
      </c>
      <c r="AT228" s="19">
        <f t="shared" si="18"/>
        <v>0</v>
      </c>
      <c r="AU228" s="19">
        <v>0</v>
      </c>
      <c r="AV228" s="19">
        <f t="shared" si="19"/>
        <v>0.00027</v>
      </c>
    </row>
    <row r="229" spans="1:48" ht="12.75">
      <c r="A229" s="129" t="s">
        <v>83</v>
      </c>
      <c r="B229" s="129" t="s">
        <v>197</v>
      </c>
      <c r="C229" s="129" t="s">
        <v>278</v>
      </c>
      <c r="D229" s="129" t="s">
        <v>595</v>
      </c>
      <c r="E229" s="129" t="s">
        <v>779</v>
      </c>
      <c r="F229" s="130">
        <v>3</v>
      </c>
      <c r="G229" s="130">
        <v>0</v>
      </c>
      <c r="H229" s="130">
        <f t="shared" si="0"/>
        <v>0</v>
      </c>
      <c r="I229" s="130">
        <f t="shared" si="1"/>
        <v>0</v>
      </c>
      <c r="J229" s="130">
        <f t="shared" si="2"/>
        <v>0</v>
      </c>
      <c r="K229" s="130">
        <v>0.00131</v>
      </c>
      <c r="L229" s="130">
        <f t="shared" si="3"/>
        <v>0.0039299999999999995</v>
      </c>
      <c r="M229" s="131" t="s">
        <v>803</v>
      </c>
      <c r="P229" s="19">
        <f t="shared" si="4"/>
        <v>0</v>
      </c>
      <c r="R229" s="19">
        <f t="shared" si="5"/>
        <v>0</v>
      </c>
      <c r="S229" s="19">
        <f t="shared" si="6"/>
        <v>0</v>
      </c>
      <c r="T229" s="19">
        <f t="shared" si="7"/>
        <v>0</v>
      </c>
      <c r="U229" s="19">
        <f t="shared" si="8"/>
        <v>0</v>
      </c>
      <c r="V229" s="19">
        <f t="shared" si="9"/>
        <v>0</v>
      </c>
      <c r="W229" s="19">
        <f t="shared" si="10"/>
        <v>0</v>
      </c>
      <c r="X229" s="19">
        <f t="shared" si="11"/>
        <v>0</v>
      </c>
      <c r="Y229" s="13" t="s">
        <v>197</v>
      </c>
      <c r="Z229" s="10">
        <f t="shared" si="12"/>
        <v>0</v>
      </c>
      <c r="AA229" s="10">
        <f t="shared" si="13"/>
        <v>0</v>
      </c>
      <c r="AB229" s="10">
        <f t="shared" si="14"/>
        <v>0</v>
      </c>
      <c r="AD229" s="19">
        <v>21</v>
      </c>
      <c r="AE229" s="19">
        <f>G229*0.415212765957447</f>
        <v>0</v>
      </c>
      <c r="AF229" s="19">
        <f>G229*(1-0.415212765957447)</f>
        <v>0</v>
      </c>
      <c r="AG229" s="15" t="s">
        <v>13</v>
      </c>
      <c r="AM229" s="19">
        <f t="shared" si="15"/>
        <v>0</v>
      </c>
      <c r="AN229" s="19">
        <f t="shared" si="16"/>
        <v>0</v>
      </c>
      <c r="AO229" s="20" t="s">
        <v>830</v>
      </c>
      <c r="AP229" s="20" t="s">
        <v>853</v>
      </c>
      <c r="AQ229" s="13" t="s">
        <v>859</v>
      </c>
      <c r="AS229" s="19">
        <f t="shared" si="17"/>
        <v>0</v>
      </c>
      <c r="AT229" s="19">
        <f t="shared" si="18"/>
        <v>0</v>
      </c>
      <c r="AU229" s="19">
        <v>0</v>
      </c>
      <c r="AV229" s="19">
        <f t="shared" si="19"/>
        <v>0.0039299999999999995</v>
      </c>
    </row>
    <row r="230" spans="1:48" ht="12.75">
      <c r="A230" s="129" t="s">
        <v>84</v>
      </c>
      <c r="B230" s="129" t="s">
        <v>197</v>
      </c>
      <c r="C230" s="129" t="s">
        <v>279</v>
      </c>
      <c r="D230" s="129" t="s">
        <v>596</v>
      </c>
      <c r="E230" s="129" t="s">
        <v>778</v>
      </c>
      <c r="F230" s="130">
        <v>0.04</v>
      </c>
      <c r="G230" s="130">
        <v>0</v>
      </c>
      <c r="H230" s="130">
        <f t="shared" si="0"/>
        <v>0</v>
      </c>
      <c r="I230" s="130">
        <f t="shared" si="1"/>
        <v>0</v>
      </c>
      <c r="J230" s="130">
        <f t="shared" si="2"/>
        <v>0</v>
      </c>
      <c r="K230" s="130">
        <v>0</v>
      </c>
      <c r="L230" s="130">
        <f t="shared" si="3"/>
        <v>0</v>
      </c>
      <c r="M230" s="131" t="s">
        <v>803</v>
      </c>
      <c r="P230" s="19">
        <f t="shared" si="4"/>
        <v>0</v>
      </c>
      <c r="R230" s="19">
        <f t="shared" si="5"/>
        <v>0</v>
      </c>
      <c r="S230" s="19">
        <f t="shared" si="6"/>
        <v>0</v>
      </c>
      <c r="T230" s="19">
        <f t="shared" si="7"/>
        <v>0</v>
      </c>
      <c r="U230" s="19">
        <f t="shared" si="8"/>
        <v>0</v>
      </c>
      <c r="V230" s="19">
        <f t="shared" si="9"/>
        <v>0</v>
      </c>
      <c r="W230" s="19">
        <f t="shared" si="10"/>
        <v>0</v>
      </c>
      <c r="X230" s="19">
        <f t="shared" si="11"/>
        <v>0</v>
      </c>
      <c r="Y230" s="13" t="s">
        <v>197</v>
      </c>
      <c r="Z230" s="10">
        <f t="shared" si="12"/>
        <v>0</v>
      </c>
      <c r="AA230" s="10">
        <f t="shared" si="13"/>
        <v>0</v>
      </c>
      <c r="AB230" s="10">
        <f t="shared" si="14"/>
        <v>0</v>
      </c>
      <c r="AD230" s="19">
        <v>21</v>
      </c>
      <c r="AE230" s="19">
        <f>G230*0</f>
        <v>0</v>
      </c>
      <c r="AF230" s="19">
        <f>G230*(1-0)</f>
        <v>0</v>
      </c>
      <c r="AG230" s="15" t="s">
        <v>11</v>
      </c>
      <c r="AM230" s="19">
        <f t="shared" si="15"/>
        <v>0</v>
      </c>
      <c r="AN230" s="19">
        <f t="shared" si="16"/>
        <v>0</v>
      </c>
      <c r="AO230" s="20" t="s">
        <v>830</v>
      </c>
      <c r="AP230" s="20" t="s">
        <v>853</v>
      </c>
      <c r="AQ230" s="13" t="s">
        <v>859</v>
      </c>
      <c r="AS230" s="19">
        <f t="shared" si="17"/>
        <v>0</v>
      </c>
      <c r="AT230" s="19">
        <f t="shared" si="18"/>
        <v>0</v>
      </c>
      <c r="AU230" s="19">
        <v>0</v>
      </c>
      <c r="AV230" s="19">
        <f t="shared" si="19"/>
        <v>0</v>
      </c>
    </row>
    <row r="231" spans="1:37" ht="12.75">
      <c r="A231" s="125"/>
      <c r="B231" s="126" t="s">
        <v>197</v>
      </c>
      <c r="C231" s="126" t="s">
        <v>280</v>
      </c>
      <c r="D231" s="126" t="s">
        <v>597</v>
      </c>
      <c r="E231" s="125" t="s">
        <v>6</v>
      </c>
      <c r="F231" s="125" t="s">
        <v>6</v>
      </c>
      <c r="G231" s="125" t="s">
        <v>6</v>
      </c>
      <c r="H231" s="127">
        <f>SUM(H232:H248)</f>
        <v>0</v>
      </c>
      <c r="I231" s="127">
        <f>SUM(I232:I248)</f>
        <v>0</v>
      </c>
      <c r="J231" s="127">
        <f>H231+I231</f>
        <v>0</v>
      </c>
      <c r="K231" s="128"/>
      <c r="L231" s="127">
        <f>SUM(L232:L248)</f>
        <v>0.02495</v>
      </c>
      <c r="M231" s="128"/>
      <c r="Y231" s="13" t="s">
        <v>197</v>
      </c>
      <c r="AI231" s="22">
        <f>SUM(Z232:Z248)</f>
        <v>0</v>
      </c>
      <c r="AJ231" s="22">
        <f>SUM(AA232:AA248)</f>
        <v>0</v>
      </c>
      <c r="AK231" s="22">
        <f>SUM(AB232:AB248)</f>
        <v>0</v>
      </c>
    </row>
    <row r="232" spans="1:48" ht="12.75">
      <c r="A232" s="129" t="s">
        <v>85</v>
      </c>
      <c r="B232" s="129" t="s">
        <v>197</v>
      </c>
      <c r="C232" s="129" t="s">
        <v>281</v>
      </c>
      <c r="D232" s="129" t="s">
        <v>598</v>
      </c>
      <c r="E232" s="129" t="s">
        <v>779</v>
      </c>
      <c r="F232" s="130">
        <v>16</v>
      </c>
      <c r="G232" s="130">
        <v>0</v>
      </c>
      <c r="H232" s="130">
        <f aca="true" t="shared" si="20" ref="H232:H242">F232*AE232</f>
        <v>0</v>
      </c>
      <c r="I232" s="130">
        <f aca="true" t="shared" si="21" ref="I232:I242">J232-H232</f>
        <v>0</v>
      </c>
      <c r="J232" s="130">
        <f aca="true" t="shared" si="22" ref="J232:J242">F232*G232</f>
        <v>0</v>
      </c>
      <c r="K232" s="130">
        <v>0.00046</v>
      </c>
      <c r="L232" s="130">
        <f aca="true" t="shared" si="23" ref="L232:L242">F232*K232</f>
        <v>0.00736</v>
      </c>
      <c r="M232" s="131" t="s">
        <v>803</v>
      </c>
      <c r="P232" s="19">
        <f aca="true" t="shared" si="24" ref="P232:P242">IF(AG232="5",J232,0)</f>
        <v>0</v>
      </c>
      <c r="R232" s="19">
        <f aca="true" t="shared" si="25" ref="R232:R242">IF(AG232="1",H232,0)</f>
        <v>0</v>
      </c>
      <c r="S232" s="19">
        <f aca="true" t="shared" si="26" ref="S232:S242">IF(AG232="1",I232,0)</f>
        <v>0</v>
      </c>
      <c r="T232" s="19">
        <f aca="true" t="shared" si="27" ref="T232:T242">IF(AG232="7",H232,0)</f>
        <v>0</v>
      </c>
      <c r="U232" s="19">
        <f aca="true" t="shared" si="28" ref="U232:U242">IF(AG232="7",I232,0)</f>
        <v>0</v>
      </c>
      <c r="V232" s="19">
        <f aca="true" t="shared" si="29" ref="V232:V242">IF(AG232="2",H232,0)</f>
        <v>0</v>
      </c>
      <c r="W232" s="19">
        <f aca="true" t="shared" si="30" ref="W232:W242">IF(AG232="2",I232,0)</f>
        <v>0</v>
      </c>
      <c r="X232" s="19">
        <f aca="true" t="shared" si="31" ref="X232:X242">IF(AG232="0",J232,0)</f>
        <v>0</v>
      </c>
      <c r="Y232" s="13" t="s">
        <v>197</v>
      </c>
      <c r="Z232" s="10">
        <f aca="true" t="shared" si="32" ref="Z232:Z242">IF(AD232=0,J232,0)</f>
        <v>0</v>
      </c>
      <c r="AA232" s="10">
        <f aca="true" t="shared" si="33" ref="AA232:AA242">IF(AD232=15,J232,0)</f>
        <v>0</v>
      </c>
      <c r="AB232" s="10">
        <f aca="true" t="shared" si="34" ref="AB232:AB242">IF(AD232=21,J232,0)</f>
        <v>0</v>
      </c>
      <c r="AD232" s="19">
        <v>21</v>
      </c>
      <c r="AE232" s="19">
        <f>G232*0.208221797323136</f>
        <v>0</v>
      </c>
      <c r="AF232" s="19">
        <f>G232*(1-0.208221797323136)</f>
        <v>0</v>
      </c>
      <c r="AG232" s="15" t="s">
        <v>13</v>
      </c>
      <c r="AM232" s="19">
        <f aca="true" t="shared" si="35" ref="AM232:AM242">F232*AE232</f>
        <v>0</v>
      </c>
      <c r="AN232" s="19">
        <f aca="true" t="shared" si="36" ref="AN232:AN242">F232*AF232</f>
        <v>0</v>
      </c>
      <c r="AO232" s="20" t="s">
        <v>831</v>
      </c>
      <c r="AP232" s="20" t="s">
        <v>853</v>
      </c>
      <c r="AQ232" s="13" t="s">
        <v>859</v>
      </c>
      <c r="AS232" s="19">
        <f aca="true" t="shared" si="37" ref="AS232:AS242">AM232+AN232</f>
        <v>0</v>
      </c>
      <c r="AT232" s="19">
        <f aca="true" t="shared" si="38" ref="AT232:AT242">G232/(100-AU232)*100</f>
        <v>0</v>
      </c>
      <c r="AU232" s="19">
        <v>0</v>
      </c>
      <c r="AV232" s="19">
        <f aca="true" t="shared" si="39" ref="AV232:AV242">L232</f>
        <v>0.00736</v>
      </c>
    </row>
    <row r="233" spans="1:48" ht="12.75">
      <c r="A233" s="129" t="s">
        <v>86</v>
      </c>
      <c r="B233" s="129" t="s">
        <v>197</v>
      </c>
      <c r="C233" s="129" t="s">
        <v>282</v>
      </c>
      <c r="D233" s="129" t="s">
        <v>599</v>
      </c>
      <c r="E233" s="129" t="s">
        <v>779</v>
      </c>
      <c r="F233" s="130">
        <v>8</v>
      </c>
      <c r="G233" s="130">
        <v>0</v>
      </c>
      <c r="H233" s="130">
        <f t="shared" si="20"/>
        <v>0</v>
      </c>
      <c r="I233" s="130">
        <f t="shared" si="21"/>
        <v>0</v>
      </c>
      <c r="J233" s="130">
        <f t="shared" si="22"/>
        <v>0</v>
      </c>
      <c r="K233" s="130">
        <v>0.00058</v>
      </c>
      <c r="L233" s="130">
        <f t="shared" si="23"/>
        <v>0.00464</v>
      </c>
      <c r="M233" s="131" t="s">
        <v>803</v>
      </c>
      <c r="P233" s="19">
        <f t="shared" si="24"/>
        <v>0</v>
      </c>
      <c r="R233" s="19">
        <f t="shared" si="25"/>
        <v>0</v>
      </c>
      <c r="S233" s="19">
        <f t="shared" si="26"/>
        <v>0</v>
      </c>
      <c r="T233" s="19">
        <f t="shared" si="27"/>
        <v>0</v>
      </c>
      <c r="U233" s="19">
        <f t="shared" si="28"/>
        <v>0</v>
      </c>
      <c r="V233" s="19">
        <f t="shared" si="29"/>
        <v>0</v>
      </c>
      <c r="W233" s="19">
        <f t="shared" si="30"/>
        <v>0</v>
      </c>
      <c r="X233" s="19">
        <f t="shared" si="31"/>
        <v>0</v>
      </c>
      <c r="Y233" s="13" t="s">
        <v>197</v>
      </c>
      <c r="Z233" s="10">
        <f t="shared" si="32"/>
        <v>0</v>
      </c>
      <c r="AA233" s="10">
        <f t="shared" si="33"/>
        <v>0</v>
      </c>
      <c r="AB233" s="10">
        <f t="shared" si="34"/>
        <v>0</v>
      </c>
      <c r="AD233" s="19">
        <v>21</v>
      </c>
      <c r="AE233" s="19">
        <f>G233*0.247195993730647</f>
        <v>0</v>
      </c>
      <c r="AF233" s="19">
        <f>G233*(1-0.247195993730647)</f>
        <v>0</v>
      </c>
      <c r="AG233" s="15" t="s">
        <v>13</v>
      </c>
      <c r="AM233" s="19">
        <f t="shared" si="35"/>
        <v>0</v>
      </c>
      <c r="AN233" s="19">
        <f t="shared" si="36"/>
        <v>0</v>
      </c>
      <c r="AO233" s="20" t="s">
        <v>831</v>
      </c>
      <c r="AP233" s="20" t="s">
        <v>853</v>
      </c>
      <c r="AQ233" s="13" t="s">
        <v>859</v>
      </c>
      <c r="AS233" s="19">
        <f t="shared" si="37"/>
        <v>0</v>
      </c>
      <c r="AT233" s="19">
        <f t="shared" si="38"/>
        <v>0</v>
      </c>
      <c r="AU233" s="19">
        <v>0</v>
      </c>
      <c r="AV233" s="19">
        <f t="shared" si="39"/>
        <v>0.00464</v>
      </c>
    </row>
    <row r="234" spans="1:48" ht="12.75">
      <c r="A234" s="129" t="s">
        <v>87</v>
      </c>
      <c r="B234" s="129" t="s">
        <v>197</v>
      </c>
      <c r="C234" s="129" t="s">
        <v>283</v>
      </c>
      <c r="D234" s="129" t="s">
        <v>600</v>
      </c>
      <c r="E234" s="129" t="s">
        <v>779</v>
      </c>
      <c r="F234" s="130">
        <v>3</v>
      </c>
      <c r="G234" s="130">
        <v>0</v>
      </c>
      <c r="H234" s="130">
        <f t="shared" si="20"/>
        <v>0</v>
      </c>
      <c r="I234" s="130">
        <f t="shared" si="21"/>
        <v>0</v>
      </c>
      <c r="J234" s="130">
        <f t="shared" si="22"/>
        <v>0</v>
      </c>
      <c r="K234" s="130">
        <v>0.00074</v>
      </c>
      <c r="L234" s="130">
        <f t="shared" si="23"/>
        <v>0.0022199999999999998</v>
      </c>
      <c r="M234" s="131" t="s">
        <v>803</v>
      </c>
      <c r="P234" s="19">
        <f t="shared" si="24"/>
        <v>0</v>
      </c>
      <c r="R234" s="19">
        <f t="shared" si="25"/>
        <v>0</v>
      </c>
      <c r="S234" s="19">
        <f t="shared" si="26"/>
        <v>0</v>
      </c>
      <c r="T234" s="19">
        <f t="shared" si="27"/>
        <v>0</v>
      </c>
      <c r="U234" s="19">
        <f t="shared" si="28"/>
        <v>0</v>
      </c>
      <c r="V234" s="19">
        <f t="shared" si="29"/>
        <v>0</v>
      </c>
      <c r="W234" s="19">
        <f t="shared" si="30"/>
        <v>0</v>
      </c>
      <c r="X234" s="19">
        <f t="shared" si="31"/>
        <v>0</v>
      </c>
      <c r="Y234" s="13" t="s">
        <v>197</v>
      </c>
      <c r="Z234" s="10">
        <f t="shared" si="32"/>
        <v>0</v>
      </c>
      <c r="AA234" s="10">
        <f t="shared" si="33"/>
        <v>0</v>
      </c>
      <c r="AB234" s="10">
        <f t="shared" si="34"/>
        <v>0</v>
      </c>
      <c r="AD234" s="19">
        <v>21</v>
      </c>
      <c r="AE234" s="19">
        <f>G234*0.303888888888889</f>
        <v>0</v>
      </c>
      <c r="AF234" s="19">
        <f>G234*(1-0.303888888888889)</f>
        <v>0</v>
      </c>
      <c r="AG234" s="15" t="s">
        <v>13</v>
      </c>
      <c r="AM234" s="19">
        <f t="shared" si="35"/>
        <v>0</v>
      </c>
      <c r="AN234" s="19">
        <f t="shared" si="36"/>
        <v>0</v>
      </c>
      <c r="AO234" s="20" t="s">
        <v>831</v>
      </c>
      <c r="AP234" s="20" t="s">
        <v>853</v>
      </c>
      <c r="AQ234" s="13" t="s">
        <v>859</v>
      </c>
      <c r="AS234" s="19">
        <f t="shared" si="37"/>
        <v>0</v>
      </c>
      <c r="AT234" s="19">
        <f t="shared" si="38"/>
        <v>0</v>
      </c>
      <c r="AU234" s="19">
        <v>0</v>
      </c>
      <c r="AV234" s="19">
        <f t="shared" si="39"/>
        <v>0.0022199999999999998</v>
      </c>
    </row>
    <row r="235" spans="1:48" ht="12.75">
      <c r="A235" s="129" t="s">
        <v>88</v>
      </c>
      <c r="B235" s="129" t="s">
        <v>197</v>
      </c>
      <c r="C235" s="129" t="s">
        <v>284</v>
      </c>
      <c r="D235" s="129" t="s">
        <v>601</v>
      </c>
      <c r="E235" s="129" t="s">
        <v>779</v>
      </c>
      <c r="F235" s="130">
        <v>16</v>
      </c>
      <c r="G235" s="130">
        <v>0</v>
      </c>
      <c r="H235" s="130">
        <f t="shared" si="20"/>
        <v>0</v>
      </c>
      <c r="I235" s="130">
        <f t="shared" si="21"/>
        <v>0</v>
      </c>
      <c r="J235" s="130">
        <f t="shared" si="22"/>
        <v>0</v>
      </c>
      <c r="K235" s="130">
        <v>4E-05</v>
      </c>
      <c r="L235" s="130">
        <f t="shared" si="23"/>
        <v>0.00064</v>
      </c>
      <c r="M235" s="131" t="s">
        <v>803</v>
      </c>
      <c r="P235" s="19">
        <f t="shared" si="24"/>
        <v>0</v>
      </c>
      <c r="R235" s="19">
        <f t="shared" si="25"/>
        <v>0</v>
      </c>
      <c r="S235" s="19">
        <f t="shared" si="26"/>
        <v>0</v>
      </c>
      <c r="T235" s="19">
        <f t="shared" si="27"/>
        <v>0</v>
      </c>
      <c r="U235" s="19">
        <f t="shared" si="28"/>
        <v>0</v>
      </c>
      <c r="V235" s="19">
        <f t="shared" si="29"/>
        <v>0</v>
      </c>
      <c r="W235" s="19">
        <f t="shared" si="30"/>
        <v>0</v>
      </c>
      <c r="X235" s="19">
        <f t="shared" si="31"/>
        <v>0</v>
      </c>
      <c r="Y235" s="13" t="s">
        <v>197</v>
      </c>
      <c r="Z235" s="10">
        <f t="shared" si="32"/>
        <v>0</v>
      </c>
      <c r="AA235" s="10">
        <f t="shared" si="33"/>
        <v>0</v>
      </c>
      <c r="AB235" s="10">
        <f t="shared" si="34"/>
        <v>0</v>
      </c>
      <c r="AD235" s="19">
        <v>21</v>
      </c>
      <c r="AE235" s="19">
        <f>G235*0.364228723404255</f>
        <v>0</v>
      </c>
      <c r="AF235" s="19">
        <f>G235*(1-0.364228723404255)</f>
        <v>0</v>
      </c>
      <c r="AG235" s="15" t="s">
        <v>13</v>
      </c>
      <c r="AM235" s="19">
        <f t="shared" si="35"/>
        <v>0</v>
      </c>
      <c r="AN235" s="19">
        <f t="shared" si="36"/>
        <v>0</v>
      </c>
      <c r="AO235" s="20" t="s">
        <v>831</v>
      </c>
      <c r="AP235" s="20" t="s">
        <v>853</v>
      </c>
      <c r="AQ235" s="13" t="s">
        <v>859</v>
      </c>
      <c r="AS235" s="19">
        <f t="shared" si="37"/>
        <v>0</v>
      </c>
      <c r="AT235" s="19">
        <f t="shared" si="38"/>
        <v>0</v>
      </c>
      <c r="AU235" s="19">
        <v>0</v>
      </c>
      <c r="AV235" s="19">
        <f t="shared" si="39"/>
        <v>0.00064</v>
      </c>
    </row>
    <row r="236" spans="1:48" ht="12.75">
      <c r="A236" s="129" t="s">
        <v>89</v>
      </c>
      <c r="B236" s="129" t="s">
        <v>197</v>
      </c>
      <c r="C236" s="129" t="s">
        <v>285</v>
      </c>
      <c r="D236" s="129" t="s">
        <v>601</v>
      </c>
      <c r="E236" s="129" t="s">
        <v>779</v>
      </c>
      <c r="F236" s="130">
        <v>8</v>
      </c>
      <c r="G236" s="130">
        <v>0</v>
      </c>
      <c r="H236" s="130">
        <f t="shared" si="20"/>
        <v>0</v>
      </c>
      <c r="I236" s="130">
        <f t="shared" si="21"/>
        <v>0</v>
      </c>
      <c r="J236" s="130">
        <f t="shared" si="22"/>
        <v>0</v>
      </c>
      <c r="K236" s="130">
        <v>6E-05</v>
      </c>
      <c r="L236" s="130">
        <f t="shared" si="23"/>
        <v>0.00048</v>
      </c>
      <c r="M236" s="131" t="s">
        <v>803</v>
      </c>
      <c r="P236" s="19">
        <f t="shared" si="24"/>
        <v>0</v>
      </c>
      <c r="R236" s="19">
        <f t="shared" si="25"/>
        <v>0</v>
      </c>
      <c r="S236" s="19">
        <f t="shared" si="26"/>
        <v>0</v>
      </c>
      <c r="T236" s="19">
        <f t="shared" si="27"/>
        <v>0</v>
      </c>
      <c r="U236" s="19">
        <f t="shared" si="28"/>
        <v>0</v>
      </c>
      <c r="V236" s="19">
        <f t="shared" si="29"/>
        <v>0</v>
      </c>
      <c r="W236" s="19">
        <f t="shared" si="30"/>
        <v>0</v>
      </c>
      <c r="X236" s="19">
        <f t="shared" si="31"/>
        <v>0</v>
      </c>
      <c r="Y236" s="13" t="s">
        <v>197</v>
      </c>
      <c r="Z236" s="10">
        <f t="shared" si="32"/>
        <v>0</v>
      </c>
      <c r="AA236" s="10">
        <f t="shared" si="33"/>
        <v>0</v>
      </c>
      <c r="AB236" s="10">
        <f t="shared" si="34"/>
        <v>0</v>
      </c>
      <c r="AD236" s="19">
        <v>21</v>
      </c>
      <c r="AE236" s="19">
        <f>G236*0.388618925831202</f>
        <v>0</v>
      </c>
      <c r="AF236" s="19">
        <f>G236*(1-0.388618925831202)</f>
        <v>0</v>
      </c>
      <c r="AG236" s="15" t="s">
        <v>13</v>
      </c>
      <c r="AM236" s="19">
        <f t="shared" si="35"/>
        <v>0</v>
      </c>
      <c r="AN236" s="19">
        <f t="shared" si="36"/>
        <v>0</v>
      </c>
      <c r="AO236" s="20" t="s">
        <v>831</v>
      </c>
      <c r="AP236" s="20" t="s">
        <v>853</v>
      </c>
      <c r="AQ236" s="13" t="s">
        <v>859</v>
      </c>
      <c r="AS236" s="19">
        <f t="shared" si="37"/>
        <v>0</v>
      </c>
      <c r="AT236" s="19">
        <f t="shared" si="38"/>
        <v>0</v>
      </c>
      <c r="AU236" s="19">
        <v>0</v>
      </c>
      <c r="AV236" s="19">
        <f t="shared" si="39"/>
        <v>0.00048</v>
      </c>
    </row>
    <row r="237" spans="1:48" ht="12.75">
      <c r="A237" s="129" t="s">
        <v>90</v>
      </c>
      <c r="B237" s="129" t="s">
        <v>197</v>
      </c>
      <c r="C237" s="129" t="s">
        <v>286</v>
      </c>
      <c r="D237" s="129" t="s">
        <v>601</v>
      </c>
      <c r="E237" s="129" t="s">
        <v>779</v>
      </c>
      <c r="F237" s="130">
        <v>3</v>
      </c>
      <c r="G237" s="130">
        <v>0</v>
      </c>
      <c r="H237" s="130">
        <f t="shared" si="20"/>
        <v>0</v>
      </c>
      <c r="I237" s="130">
        <f t="shared" si="21"/>
        <v>0</v>
      </c>
      <c r="J237" s="130">
        <f t="shared" si="22"/>
        <v>0</v>
      </c>
      <c r="K237" s="130">
        <v>6E-05</v>
      </c>
      <c r="L237" s="130">
        <f t="shared" si="23"/>
        <v>0.00018</v>
      </c>
      <c r="M237" s="131" t="s">
        <v>803</v>
      </c>
      <c r="P237" s="19">
        <f t="shared" si="24"/>
        <v>0</v>
      </c>
      <c r="R237" s="19">
        <f t="shared" si="25"/>
        <v>0</v>
      </c>
      <c r="S237" s="19">
        <f t="shared" si="26"/>
        <v>0</v>
      </c>
      <c r="T237" s="19">
        <f t="shared" si="27"/>
        <v>0</v>
      </c>
      <c r="U237" s="19">
        <f t="shared" si="28"/>
        <v>0</v>
      </c>
      <c r="V237" s="19">
        <f t="shared" si="29"/>
        <v>0</v>
      </c>
      <c r="W237" s="19">
        <f t="shared" si="30"/>
        <v>0</v>
      </c>
      <c r="X237" s="19">
        <f t="shared" si="31"/>
        <v>0</v>
      </c>
      <c r="Y237" s="13" t="s">
        <v>197</v>
      </c>
      <c r="Z237" s="10">
        <f t="shared" si="32"/>
        <v>0</v>
      </c>
      <c r="AA237" s="10">
        <f t="shared" si="33"/>
        <v>0</v>
      </c>
      <c r="AB237" s="10">
        <f t="shared" si="34"/>
        <v>0</v>
      </c>
      <c r="AD237" s="19">
        <v>21</v>
      </c>
      <c r="AE237" s="19">
        <f>G237*0.412067039106145</f>
        <v>0</v>
      </c>
      <c r="AF237" s="19">
        <f>G237*(1-0.412067039106145)</f>
        <v>0</v>
      </c>
      <c r="AG237" s="15" t="s">
        <v>13</v>
      </c>
      <c r="AM237" s="19">
        <f t="shared" si="35"/>
        <v>0</v>
      </c>
      <c r="AN237" s="19">
        <f t="shared" si="36"/>
        <v>0</v>
      </c>
      <c r="AO237" s="20" t="s">
        <v>831</v>
      </c>
      <c r="AP237" s="20" t="s">
        <v>853</v>
      </c>
      <c r="AQ237" s="13" t="s">
        <v>859</v>
      </c>
      <c r="AS237" s="19">
        <f t="shared" si="37"/>
        <v>0</v>
      </c>
      <c r="AT237" s="19">
        <f t="shared" si="38"/>
        <v>0</v>
      </c>
      <c r="AU237" s="19">
        <v>0</v>
      </c>
      <c r="AV237" s="19">
        <f t="shared" si="39"/>
        <v>0.00018</v>
      </c>
    </row>
    <row r="238" spans="1:48" ht="12.75">
      <c r="A238" s="129" t="s">
        <v>91</v>
      </c>
      <c r="B238" s="129" t="s">
        <v>197</v>
      </c>
      <c r="C238" s="129" t="s">
        <v>287</v>
      </c>
      <c r="D238" s="129" t="s">
        <v>602</v>
      </c>
      <c r="E238" s="129" t="s">
        <v>777</v>
      </c>
      <c r="F238" s="130">
        <v>7</v>
      </c>
      <c r="G238" s="130">
        <v>0</v>
      </c>
      <c r="H238" s="130">
        <f t="shared" si="20"/>
        <v>0</v>
      </c>
      <c r="I238" s="130">
        <f t="shared" si="21"/>
        <v>0</v>
      </c>
      <c r="J238" s="130">
        <f t="shared" si="22"/>
        <v>0</v>
      </c>
      <c r="K238" s="130">
        <v>0</v>
      </c>
      <c r="L238" s="130">
        <f t="shared" si="23"/>
        <v>0</v>
      </c>
      <c r="M238" s="131" t="s">
        <v>803</v>
      </c>
      <c r="P238" s="19">
        <f t="shared" si="24"/>
        <v>0</v>
      </c>
      <c r="R238" s="19">
        <f t="shared" si="25"/>
        <v>0</v>
      </c>
      <c r="S238" s="19">
        <f t="shared" si="26"/>
        <v>0</v>
      </c>
      <c r="T238" s="19">
        <f t="shared" si="27"/>
        <v>0</v>
      </c>
      <c r="U238" s="19">
        <f t="shared" si="28"/>
        <v>0</v>
      </c>
      <c r="V238" s="19">
        <f t="shared" si="29"/>
        <v>0</v>
      </c>
      <c r="W238" s="19">
        <f t="shared" si="30"/>
        <v>0</v>
      </c>
      <c r="X238" s="19">
        <f t="shared" si="31"/>
        <v>0</v>
      </c>
      <c r="Y238" s="13" t="s">
        <v>197</v>
      </c>
      <c r="Z238" s="10">
        <f t="shared" si="32"/>
        <v>0</v>
      </c>
      <c r="AA238" s="10">
        <f t="shared" si="33"/>
        <v>0</v>
      </c>
      <c r="AB238" s="10">
        <f t="shared" si="34"/>
        <v>0</v>
      </c>
      <c r="AD238" s="19">
        <v>21</v>
      </c>
      <c r="AE238" s="19">
        <f>G238*0</f>
        <v>0</v>
      </c>
      <c r="AF238" s="19">
        <f>G238*(1-0)</f>
        <v>0</v>
      </c>
      <c r="AG238" s="15" t="s">
        <v>13</v>
      </c>
      <c r="AM238" s="19">
        <f t="shared" si="35"/>
        <v>0</v>
      </c>
      <c r="AN238" s="19">
        <f t="shared" si="36"/>
        <v>0</v>
      </c>
      <c r="AO238" s="20" t="s">
        <v>831</v>
      </c>
      <c r="AP238" s="20" t="s">
        <v>853</v>
      </c>
      <c r="AQ238" s="13" t="s">
        <v>859</v>
      </c>
      <c r="AS238" s="19">
        <f t="shared" si="37"/>
        <v>0</v>
      </c>
      <c r="AT238" s="19">
        <f t="shared" si="38"/>
        <v>0</v>
      </c>
      <c r="AU238" s="19">
        <v>0</v>
      </c>
      <c r="AV238" s="19">
        <f t="shared" si="39"/>
        <v>0</v>
      </c>
    </row>
    <row r="239" spans="1:48" ht="12.75">
      <c r="A239" s="129" t="s">
        <v>92</v>
      </c>
      <c r="B239" s="129" t="s">
        <v>197</v>
      </c>
      <c r="C239" s="129" t="s">
        <v>288</v>
      </c>
      <c r="D239" s="129" t="s">
        <v>603</v>
      </c>
      <c r="E239" s="129" t="s">
        <v>777</v>
      </c>
      <c r="F239" s="130">
        <v>7</v>
      </c>
      <c r="G239" s="130">
        <v>0</v>
      </c>
      <c r="H239" s="130">
        <f t="shared" si="20"/>
        <v>0</v>
      </c>
      <c r="I239" s="130">
        <f t="shared" si="21"/>
        <v>0</v>
      </c>
      <c r="J239" s="130">
        <f t="shared" si="22"/>
        <v>0</v>
      </c>
      <c r="K239" s="130">
        <v>0.00063</v>
      </c>
      <c r="L239" s="130">
        <f t="shared" si="23"/>
        <v>0.00441</v>
      </c>
      <c r="M239" s="131" t="s">
        <v>803</v>
      </c>
      <c r="P239" s="19">
        <f t="shared" si="24"/>
        <v>0</v>
      </c>
      <c r="R239" s="19">
        <f t="shared" si="25"/>
        <v>0</v>
      </c>
      <c r="S239" s="19">
        <f t="shared" si="26"/>
        <v>0</v>
      </c>
      <c r="T239" s="19">
        <f t="shared" si="27"/>
        <v>0</v>
      </c>
      <c r="U239" s="19">
        <f t="shared" si="28"/>
        <v>0</v>
      </c>
      <c r="V239" s="19">
        <f t="shared" si="29"/>
        <v>0</v>
      </c>
      <c r="W239" s="19">
        <f t="shared" si="30"/>
        <v>0</v>
      </c>
      <c r="X239" s="19">
        <f t="shared" si="31"/>
        <v>0</v>
      </c>
      <c r="Y239" s="13" t="s">
        <v>197</v>
      </c>
      <c r="Z239" s="10">
        <f t="shared" si="32"/>
        <v>0</v>
      </c>
      <c r="AA239" s="10">
        <f t="shared" si="33"/>
        <v>0</v>
      </c>
      <c r="AB239" s="10">
        <f t="shared" si="34"/>
        <v>0</v>
      </c>
      <c r="AD239" s="19">
        <v>21</v>
      </c>
      <c r="AE239" s="19">
        <f>G239*0.499086294416244</f>
        <v>0</v>
      </c>
      <c r="AF239" s="19">
        <f>G239*(1-0.499086294416244)</f>
        <v>0</v>
      </c>
      <c r="AG239" s="15" t="s">
        <v>13</v>
      </c>
      <c r="AM239" s="19">
        <f t="shared" si="35"/>
        <v>0</v>
      </c>
      <c r="AN239" s="19">
        <f t="shared" si="36"/>
        <v>0</v>
      </c>
      <c r="AO239" s="20" t="s">
        <v>831</v>
      </c>
      <c r="AP239" s="20" t="s">
        <v>853</v>
      </c>
      <c r="AQ239" s="13" t="s">
        <v>859</v>
      </c>
      <c r="AS239" s="19">
        <f t="shared" si="37"/>
        <v>0</v>
      </c>
      <c r="AT239" s="19">
        <f t="shared" si="38"/>
        <v>0</v>
      </c>
      <c r="AU239" s="19">
        <v>0</v>
      </c>
      <c r="AV239" s="19">
        <f t="shared" si="39"/>
        <v>0.00441</v>
      </c>
    </row>
    <row r="240" spans="1:48" ht="12.75">
      <c r="A240" s="129" t="s">
        <v>93</v>
      </c>
      <c r="B240" s="129" t="s">
        <v>197</v>
      </c>
      <c r="C240" s="129" t="s">
        <v>289</v>
      </c>
      <c r="D240" s="129" t="s">
        <v>604</v>
      </c>
      <c r="E240" s="129" t="s">
        <v>777</v>
      </c>
      <c r="F240" s="130">
        <v>1</v>
      </c>
      <c r="G240" s="130">
        <v>0</v>
      </c>
      <c r="H240" s="130">
        <f t="shared" si="20"/>
        <v>0</v>
      </c>
      <c r="I240" s="130">
        <f t="shared" si="21"/>
        <v>0</v>
      </c>
      <c r="J240" s="130">
        <f t="shared" si="22"/>
        <v>0</v>
      </c>
      <c r="K240" s="130">
        <v>0.00068</v>
      </c>
      <c r="L240" s="130">
        <f t="shared" si="23"/>
        <v>0.00068</v>
      </c>
      <c r="M240" s="131" t="s">
        <v>803</v>
      </c>
      <c r="P240" s="19">
        <f t="shared" si="24"/>
        <v>0</v>
      </c>
      <c r="R240" s="19">
        <f t="shared" si="25"/>
        <v>0</v>
      </c>
      <c r="S240" s="19">
        <f t="shared" si="26"/>
        <v>0</v>
      </c>
      <c r="T240" s="19">
        <f t="shared" si="27"/>
        <v>0</v>
      </c>
      <c r="U240" s="19">
        <f t="shared" si="28"/>
        <v>0</v>
      </c>
      <c r="V240" s="19">
        <f t="shared" si="29"/>
        <v>0</v>
      </c>
      <c r="W240" s="19">
        <f t="shared" si="30"/>
        <v>0</v>
      </c>
      <c r="X240" s="19">
        <f t="shared" si="31"/>
        <v>0</v>
      </c>
      <c r="Y240" s="13" t="s">
        <v>197</v>
      </c>
      <c r="Z240" s="10">
        <f t="shared" si="32"/>
        <v>0</v>
      </c>
      <c r="AA240" s="10">
        <f t="shared" si="33"/>
        <v>0</v>
      </c>
      <c r="AB240" s="10">
        <f t="shared" si="34"/>
        <v>0</v>
      </c>
      <c r="AD240" s="19">
        <v>21</v>
      </c>
      <c r="AE240" s="19">
        <f>G240*0.811739864864865</f>
        <v>0</v>
      </c>
      <c r="AF240" s="19">
        <f>G240*(1-0.811739864864865)</f>
        <v>0</v>
      </c>
      <c r="AG240" s="15" t="s">
        <v>13</v>
      </c>
      <c r="AM240" s="19">
        <f t="shared" si="35"/>
        <v>0</v>
      </c>
      <c r="AN240" s="19">
        <f t="shared" si="36"/>
        <v>0</v>
      </c>
      <c r="AO240" s="20" t="s">
        <v>831</v>
      </c>
      <c r="AP240" s="20" t="s">
        <v>853</v>
      </c>
      <c r="AQ240" s="13" t="s">
        <v>859</v>
      </c>
      <c r="AS240" s="19">
        <f t="shared" si="37"/>
        <v>0</v>
      </c>
      <c r="AT240" s="19">
        <f t="shared" si="38"/>
        <v>0</v>
      </c>
      <c r="AU240" s="19">
        <v>0</v>
      </c>
      <c r="AV240" s="19">
        <f t="shared" si="39"/>
        <v>0.00068</v>
      </c>
    </row>
    <row r="241" spans="1:48" ht="12.75">
      <c r="A241" s="129" t="s">
        <v>94</v>
      </c>
      <c r="B241" s="129" t="s">
        <v>197</v>
      </c>
      <c r="C241" s="129" t="s">
        <v>290</v>
      </c>
      <c r="D241" s="129" t="s">
        <v>605</v>
      </c>
      <c r="E241" s="129" t="s">
        <v>777</v>
      </c>
      <c r="F241" s="130">
        <v>2</v>
      </c>
      <c r="G241" s="130">
        <v>0</v>
      </c>
      <c r="H241" s="130">
        <f t="shared" si="20"/>
        <v>0</v>
      </c>
      <c r="I241" s="130">
        <f t="shared" si="21"/>
        <v>0</v>
      </c>
      <c r="J241" s="130">
        <f t="shared" si="22"/>
        <v>0</v>
      </c>
      <c r="K241" s="130">
        <v>0.00048</v>
      </c>
      <c r="L241" s="130">
        <f t="shared" si="23"/>
        <v>0.00096</v>
      </c>
      <c r="M241" s="131" t="s">
        <v>803</v>
      </c>
      <c r="P241" s="19">
        <f t="shared" si="24"/>
        <v>0</v>
      </c>
      <c r="R241" s="19">
        <f t="shared" si="25"/>
        <v>0</v>
      </c>
      <c r="S241" s="19">
        <f t="shared" si="26"/>
        <v>0</v>
      </c>
      <c r="T241" s="19">
        <f t="shared" si="27"/>
        <v>0</v>
      </c>
      <c r="U241" s="19">
        <f t="shared" si="28"/>
        <v>0</v>
      </c>
      <c r="V241" s="19">
        <f t="shared" si="29"/>
        <v>0</v>
      </c>
      <c r="W241" s="19">
        <f t="shared" si="30"/>
        <v>0</v>
      </c>
      <c r="X241" s="19">
        <f t="shared" si="31"/>
        <v>0</v>
      </c>
      <c r="Y241" s="13" t="s">
        <v>197</v>
      </c>
      <c r="Z241" s="10">
        <f t="shared" si="32"/>
        <v>0</v>
      </c>
      <c r="AA241" s="10">
        <f t="shared" si="33"/>
        <v>0</v>
      </c>
      <c r="AB241" s="10">
        <f t="shared" si="34"/>
        <v>0</v>
      </c>
      <c r="AD241" s="19">
        <v>21</v>
      </c>
      <c r="AE241" s="19">
        <f>G241*0.782543352601156</f>
        <v>0</v>
      </c>
      <c r="AF241" s="19">
        <f>G241*(1-0.782543352601156)</f>
        <v>0</v>
      </c>
      <c r="AG241" s="15" t="s">
        <v>13</v>
      </c>
      <c r="AM241" s="19">
        <f t="shared" si="35"/>
        <v>0</v>
      </c>
      <c r="AN241" s="19">
        <f t="shared" si="36"/>
        <v>0</v>
      </c>
      <c r="AO241" s="20" t="s">
        <v>831</v>
      </c>
      <c r="AP241" s="20" t="s">
        <v>853</v>
      </c>
      <c r="AQ241" s="13" t="s">
        <v>859</v>
      </c>
      <c r="AS241" s="19">
        <f t="shared" si="37"/>
        <v>0</v>
      </c>
      <c r="AT241" s="19">
        <f t="shared" si="38"/>
        <v>0</v>
      </c>
      <c r="AU241" s="19">
        <v>0</v>
      </c>
      <c r="AV241" s="19">
        <f t="shared" si="39"/>
        <v>0.00096</v>
      </c>
    </row>
    <row r="242" spans="1:48" ht="12.75">
      <c r="A242" s="129" t="s">
        <v>95</v>
      </c>
      <c r="B242" s="129" t="s">
        <v>197</v>
      </c>
      <c r="C242" s="129" t="s">
        <v>291</v>
      </c>
      <c r="D242" s="129" t="s">
        <v>606</v>
      </c>
      <c r="E242" s="129" t="s">
        <v>779</v>
      </c>
      <c r="F242" s="130">
        <v>27</v>
      </c>
      <c r="G242" s="130">
        <v>0</v>
      </c>
      <c r="H242" s="130">
        <f t="shared" si="20"/>
        <v>0</v>
      </c>
      <c r="I242" s="130">
        <f t="shared" si="21"/>
        <v>0</v>
      </c>
      <c r="J242" s="130">
        <f t="shared" si="22"/>
        <v>0</v>
      </c>
      <c r="K242" s="130">
        <v>0</v>
      </c>
      <c r="L242" s="130">
        <f t="shared" si="23"/>
        <v>0</v>
      </c>
      <c r="M242" s="131" t="s">
        <v>803</v>
      </c>
      <c r="P242" s="19">
        <f t="shared" si="24"/>
        <v>0</v>
      </c>
      <c r="R242" s="19">
        <f t="shared" si="25"/>
        <v>0</v>
      </c>
      <c r="S242" s="19">
        <f t="shared" si="26"/>
        <v>0</v>
      </c>
      <c r="T242" s="19">
        <f t="shared" si="27"/>
        <v>0</v>
      </c>
      <c r="U242" s="19">
        <f t="shared" si="28"/>
        <v>0</v>
      </c>
      <c r="V242" s="19">
        <f t="shared" si="29"/>
        <v>0</v>
      </c>
      <c r="W242" s="19">
        <f t="shared" si="30"/>
        <v>0</v>
      </c>
      <c r="X242" s="19">
        <f t="shared" si="31"/>
        <v>0</v>
      </c>
      <c r="Y242" s="13" t="s">
        <v>197</v>
      </c>
      <c r="Z242" s="10">
        <f t="shared" si="32"/>
        <v>0</v>
      </c>
      <c r="AA242" s="10">
        <f t="shared" si="33"/>
        <v>0</v>
      </c>
      <c r="AB242" s="10">
        <f t="shared" si="34"/>
        <v>0</v>
      </c>
      <c r="AD242" s="19">
        <v>21</v>
      </c>
      <c r="AE242" s="19">
        <f>G242*0.014767547857794</f>
        <v>0</v>
      </c>
      <c r="AF242" s="19">
        <f>G242*(1-0.014767547857794)</f>
        <v>0</v>
      </c>
      <c r="AG242" s="15" t="s">
        <v>13</v>
      </c>
      <c r="AM242" s="19">
        <f t="shared" si="35"/>
        <v>0</v>
      </c>
      <c r="AN242" s="19">
        <f t="shared" si="36"/>
        <v>0</v>
      </c>
      <c r="AO242" s="20" t="s">
        <v>831</v>
      </c>
      <c r="AP242" s="20" t="s">
        <v>853</v>
      </c>
      <c r="AQ242" s="13" t="s">
        <v>859</v>
      </c>
      <c r="AS242" s="19">
        <f t="shared" si="37"/>
        <v>0</v>
      </c>
      <c r="AT242" s="19">
        <f t="shared" si="38"/>
        <v>0</v>
      </c>
      <c r="AU242" s="19">
        <v>0</v>
      </c>
      <c r="AV242" s="19">
        <f t="shared" si="39"/>
        <v>0</v>
      </c>
    </row>
    <row r="243" spans="1:13" ht="12.75">
      <c r="A243" s="132"/>
      <c r="B243" s="132"/>
      <c r="C243" s="132"/>
      <c r="D243" s="133" t="s">
        <v>607</v>
      </c>
      <c r="E243" s="132"/>
      <c r="F243" s="134">
        <v>27</v>
      </c>
      <c r="G243" s="132"/>
      <c r="H243" s="132"/>
      <c r="I243" s="132"/>
      <c r="J243" s="132"/>
      <c r="K243" s="132"/>
      <c r="L243" s="132"/>
      <c r="M243" s="132"/>
    </row>
    <row r="244" spans="1:48" ht="12.75">
      <c r="A244" s="129" t="s">
        <v>96</v>
      </c>
      <c r="B244" s="129" t="s">
        <v>197</v>
      </c>
      <c r="C244" s="129" t="s">
        <v>292</v>
      </c>
      <c r="D244" s="129" t="s">
        <v>608</v>
      </c>
      <c r="E244" s="129" t="s">
        <v>779</v>
      </c>
      <c r="F244" s="130">
        <v>27</v>
      </c>
      <c r="G244" s="130">
        <v>0</v>
      </c>
      <c r="H244" s="130">
        <f>F244*AE244</f>
        <v>0</v>
      </c>
      <c r="I244" s="130">
        <f>J244-H244</f>
        <v>0</v>
      </c>
      <c r="J244" s="130">
        <f>F244*G244</f>
        <v>0</v>
      </c>
      <c r="K244" s="130">
        <v>1E-05</v>
      </c>
      <c r="L244" s="130">
        <f>F244*K244</f>
        <v>0.00027</v>
      </c>
      <c r="M244" s="131" t="s">
        <v>803</v>
      </c>
      <c r="P244" s="19">
        <f>IF(AG244="5",J244,0)</f>
        <v>0</v>
      </c>
      <c r="R244" s="19">
        <f>IF(AG244="1",H244,0)</f>
        <v>0</v>
      </c>
      <c r="S244" s="19">
        <f>IF(AG244="1",I244,0)</f>
        <v>0</v>
      </c>
      <c r="T244" s="19">
        <f>IF(AG244="7",H244,0)</f>
        <v>0</v>
      </c>
      <c r="U244" s="19">
        <f>IF(AG244="7",I244,0)</f>
        <v>0</v>
      </c>
      <c r="V244" s="19">
        <f>IF(AG244="2",H244,0)</f>
        <v>0</v>
      </c>
      <c r="W244" s="19">
        <f>IF(AG244="2",I244,0)</f>
        <v>0</v>
      </c>
      <c r="X244" s="19">
        <f>IF(AG244="0",J244,0)</f>
        <v>0</v>
      </c>
      <c r="Y244" s="13" t="s">
        <v>197</v>
      </c>
      <c r="Z244" s="10">
        <f>IF(AD244=0,J244,0)</f>
        <v>0</v>
      </c>
      <c r="AA244" s="10">
        <f>IF(AD244=15,J244,0)</f>
        <v>0</v>
      </c>
      <c r="AB244" s="10">
        <f>IF(AD244=21,J244,0)</f>
        <v>0</v>
      </c>
      <c r="AD244" s="19">
        <v>21</v>
      </c>
      <c r="AE244" s="19">
        <f>G244*0.0535055350553506</f>
        <v>0</v>
      </c>
      <c r="AF244" s="19">
        <f>G244*(1-0.0535055350553506)</f>
        <v>0</v>
      </c>
      <c r="AG244" s="15" t="s">
        <v>13</v>
      </c>
      <c r="AM244" s="19">
        <f>F244*AE244</f>
        <v>0</v>
      </c>
      <c r="AN244" s="19">
        <f>F244*AF244</f>
        <v>0</v>
      </c>
      <c r="AO244" s="20" t="s">
        <v>831</v>
      </c>
      <c r="AP244" s="20" t="s">
        <v>853</v>
      </c>
      <c r="AQ244" s="13" t="s">
        <v>859</v>
      </c>
      <c r="AS244" s="19">
        <f>AM244+AN244</f>
        <v>0</v>
      </c>
      <c r="AT244" s="19">
        <f>G244/(100-AU244)*100</f>
        <v>0</v>
      </c>
      <c r="AU244" s="19">
        <v>0</v>
      </c>
      <c r="AV244" s="19">
        <f>L244</f>
        <v>0.00027</v>
      </c>
    </row>
    <row r="245" spans="1:48" ht="12.75">
      <c r="A245" s="129" t="s">
        <v>97</v>
      </c>
      <c r="B245" s="129" t="s">
        <v>197</v>
      </c>
      <c r="C245" s="129" t="s">
        <v>293</v>
      </c>
      <c r="D245" s="129" t="s">
        <v>609</v>
      </c>
      <c r="E245" s="129" t="s">
        <v>777</v>
      </c>
      <c r="F245" s="130">
        <v>1</v>
      </c>
      <c r="G245" s="130">
        <v>0</v>
      </c>
      <c r="H245" s="130">
        <f>F245*AE245</f>
        <v>0</v>
      </c>
      <c r="I245" s="130">
        <f>J245-H245</f>
        <v>0</v>
      </c>
      <c r="J245" s="130">
        <f>F245*G245</f>
        <v>0</v>
      </c>
      <c r="K245" s="130">
        <v>0.00136</v>
      </c>
      <c r="L245" s="130">
        <f>F245*K245</f>
        <v>0.00136</v>
      </c>
      <c r="M245" s="131" t="s">
        <v>803</v>
      </c>
      <c r="P245" s="19">
        <f>IF(AG245="5",J245,0)</f>
        <v>0</v>
      </c>
      <c r="R245" s="19">
        <f>IF(AG245="1",H245,0)</f>
        <v>0</v>
      </c>
      <c r="S245" s="19">
        <f>IF(AG245="1",I245,0)</f>
        <v>0</v>
      </c>
      <c r="T245" s="19">
        <f>IF(AG245="7",H245,0)</f>
        <v>0</v>
      </c>
      <c r="U245" s="19">
        <f>IF(AG245="7",I245,0)</f>
        <v>0</v>
      </c>
      <c r="V245" s="19">
        <f>IF(AG245="2",H245,0)</f>
        <v>0</v>
      </c>
      <c r="W245" s="19">
        <f>IF(AG245="2",I245,0)</f>
        <v>0</v>
      </c>
      <c r="X245" s="19">
        <f>IF(AG245="0",J245,0)</f>
        <v>0</v>
      </c>
      <c r="Y245" s="13" t="s">
        <v>197</v>
      </c>
      <c r="Z245" s="10">
        <f>IF(AD245=0,J245,0)</f>
        <v>0</v>
      </c>
      <c r="AA245" s="10">
        <f>IF(AD245=15,J245,0)</f>
        <v>0</v>
      </c>
      <c r="AB245" s="10">
        <f>IF(AD245=21,J245,0)</f>
        <v>0</v>
      </c>
      <c r="AD245" s="19">
        <v>21</v>
      </c>
      <c r="AE245" s="19">
        <f>G245*0.948389121338912</f>
        <v>0</v>
      </c>
      <c r="AF245" s="19">
        <f>G245*(1-0.948389121338912)</f>
        <v>0</v>
      </c>
      <c r="AG245" s="15" t="s">
        <v>13</v>
      </c>
      <c r="AM245" s="19">
        <f>F245*AE245</f>
        <v>0</v>
      </c>
      <c r="AN245" s="19">
        <f>F245*AF245</f>
        <v>0</v>
      </c>
      <c r="AO245" s="20" t="s">
        <v>831</v>
      </c>
      <c r="AP245" s="20" t="s">
        <v>853</v>
      </c>
      <c r="AQ245" s="13" t="s">
        <v>859</v>
      </c>
      <c r="AS245" s="19">
        <f>AM245+AN245</f>
        <v>0</v>
      </c>
      <c r="AT245" s="19">
        <f>G245/(100-AU245)*100</f>
        <v>0</v>
      </c>
      <c r="AU245" s="19">
        <v>0</v>
      </c>
      <c r="AV245" s="19">
        <f>L245</f>
        <v>0.00136</v>
      </c>
    </row>
    <row r="246" spans="1:48" ht="12.75">
      <c r="A246" s="129" t="s">
        <v>98</v>
      </c>
      <c r="B246" s="129" t="s">
        <v>197</v>
      </c>
      <c r="C246" s="129" t="s">
        <v>294</v>
      </c>
      <c r="D246" s="129" t="s">
        <v>610</v>
      </c>
      <c r="E246" s="129" t="s">
        <v>777</v>
      </c>
      <c r="F246" s="130">
        <v>1</v>
      </c>
      <c r="G246" s="130">
        <v>0</v>
      </c>
      <c r="H246" s="130">
        <f>F246*AE246</f>
        <v>0</v>
      </c>
      <c r="I246" s="130">
        <f>J246-H246</f>
        <v>0</v>
      </c>
      <c r="J246" s="130">
        <f>F246*G246</f>
        <v>0</v>
      </c>
      <c r="K246" s="130">
        <v>0.0015</v>
      </c>
      <c r="L246" s="130">
        <f>F246*K246</f>
        <v>0.0015</v>
      </c>
      <c r="M246" s="131" t="s">
        <v>803</v>
      </c>
      <c r="P246" s="19">
        <f>IF(AG246="5",J246,0)</f>
        <v>0</v>
      </c>
      <c r="R246" s="19">
        <f>IF(AG246="1",H246,0)</f>
        <v>0</v>
      </c>
      <c r="S246" s="19">
        <f>IF(AG246="1",I246,0)</f>
        <v>0</v>
      </c>
      <c r="T246" s="19">
        <f>IF(AG246="7",H246,0)</f>
        <v>0</v>
      </c>
      <c r="U246" s="19">
        <f>IF(AG246="7",I246,0)</f>
        <v>0</v>
      </c>
      <c r="V246" s="19">
        <f>IF(AG246="2",H246,0)</f>
        <v>0</v>
      </c>
      <c r="W246" s="19">
        <f>IF(AG246="2",I246,0)</f>
        <v>0</v>
      </c>
      <c r="X246" s="19">
        <f>IF(AG246="0",J246,0)</f>
        <v>0</v>
      </c>
      <c r="Y246" s="13" t="s">
        <v>197</v>
      </c>
      <c r="Z246" s="10">
        <f>IF(AD246=0,J246,0)</f>
        <v>0</v>
      </c>
      <c r="AA246" s="10">
        <f>IF(AD246=15,J246,0)</f>
        <v>0</v>
      </c>
      <c r="AB246" s="10">
        <f>IF(AD246=21,J246,0)</f>
        <v>0</v>
      </c>
      <c r="AD246" s="19">
        <v>21</v>
      </c>
      <c r="AE246" s="19">
        <f>G246*0.966158415841584</f>
        <v>0</v>
      </c>
      <c r="AF246" s="19">
        <f>G246*(1-0.966158415841584)</f>
        <v>0</v>
      </c>
      <c r="AG246" s="15" t="s">
        <v>13</v>
      </c>
      <c r="AM246" s="19">
        <f>F246*AE246</f>
        <v>0</v>
      </c>
      <c r="AN246" s="19">
        <f>F246*AF246</f>
        <v>0</v>
      </c>
      <c r="AO246" s="20" t="s">
        <v>831</v>
      </c>
      <c r="AP246" s="20" t="s">
        <v>853</v>
      </c>
      <c r="AQ246" s="13" t="s">
        <v>859</v>
      </c>
      <c r="AS246" s="19">
        <f>AM246+AN246</f>
        <v>0</v>
      </c>
      <c r="AT246" s="19">
        <f>G246/(100-AU246)*100</f>
        <v>0</v>
      </c>
      <c r="AU246" s="19">
        <v>0</v>
      </c>
      <c r="AV246" s="19">
        <f>L246</f>
        <v>0.0015</v>
      </c>
    </row>
    <row r="247" spans="1:48" ht="12.75">
      <c r="A247" s="129" t="s">
        <v>99</v>
      </c>
      <c r="B247" s="129" t="s">
        <v>197</v>
      </c>
      <c r="C247" s="129" t="s">
        <v>295</v>
      </c>
      <c r="D247" s="129" t="s">
        <v>611</v>
      </c>
      <c r="E247" s="129" t="s">
        <v>777</v>
      </c>
      <c r="F247" s="130">
        <v>1</v>
      </c>
      <c r="G247" s="130">
        <v>0</v>
      </c>
      <c r="H247" s="130">
        <f>F247*AE247</f>
        <v>0</v>
      </c>
      <c r="I247" s="130">
        <f>J247-H247</f>
        <v>0</v>
      </c>
      <c r="J247" s="130">
        <f>F247*G247</f>
        <v>0</v>
      </c>
      <c r="K247" s="130">
        <v>0.00025</v>
      </c>
      <c r="L247" s="130">
        <f>F247*K247</f>
        <v>0.00025</v>
      </c>
      <c r="M247" s="131" t="s">
        <v>803</v>
      </c>
      <c r="P247" s="19">
        <f>IF(AG247="5",J247,0)</f>
        <v>0</v>
      </c>
      <c r="R247" s="19">
        <f>IF(AG247="1",H247,0)</f>
        <v>0</v>
      </c>
      <c r="S247" s="19">
        <f>IF(AG247="1",I247,0)</f>
        <v>0</v>
      </c>
      <c r="T247" s="19">
        <f>IF(AG247="7",H247,0)</f>
        <v>0</v>
      </c>
      <c r="U247" s="19">
        <f>IF(AG247="7",I247,0)</f>
        <v>0</v>
      </c>
      <c r="V247" s="19">
        <f>IF(AG247="2",H247,0)</f>
        <v>0</v>
      </c>
      <c r="W247" s="19">
        <f>IF(AG247="2",I247,0)</f>
        <v>0</v>
      </c>
      <c r="X247" s="19">
        <f>IF(AG247="0",J247,0)</f>
        <v>0</v>
      </c>
      <c r="Y247" s="13" t="s">
        <v>197</v>
      </c>
      <c r="Z247" s="10">
        <f>IF(AD247=0,J247,0)</f>
        <v>0</v>
      </c>
      <c r="AA247" s="10">
        <f>IF(AD247=15,J247,0)</f>
        <v>0</v>
      </c>
      <c r="AB247" s="10">
        <f>IF(AD247=21,J247,0)</f>
        <v>0</v>
      </c>
      <c r="AD247" s="19">
        <v>21</v>
      </c>
      <c r="AE247" s="19">
        <f>G247*0.725536</f>
        <v>0</v>
      </c>
      <c r="AF247" s="19">
        <f>G247*(1-0.725536)</f>
        <v>0</v>
      </c>
      <c r="AG247" s="15" t="s">
        <v>13</v>
      </c>
      <c r="AM247" s="19">
        <f>F247*AE247</f>
        <v>0</v>
      </c>
      <c r="AN247" s="19">
        <f>F247*AF247</f>
        <v>0</v>
      </c>
      <c r="AO247" s="20" t="s">
        <v>831</v>
      </c>
      <c r="AP247" s="20" t="s">
        <v>853</v>
      </c>
      <c r="AQ247" s="13" t="s">
        <v>859</v>
      </c>
      <c r="AS247" s="19">
        <f>AM247+AN247</f>
        <v>0</v>
      </c>
      <c r="AT247" s="19">
        <f>G247/(100-AU247)*100</f>
        <v>0</v>
      </c>
      <c r="AU247" s="19">
        <v>0</v>
      </c>
      <c r="AV247" s="19">
        <f>L247</f>
        <v>0.00025</v>
      </c>
    </row>
    <row r="248" spans="1:48" ht="12.75">
      <c r="A248" s="129" t="s">
        <v>100</v>
      </c>
      <c r="B248" s="129" t="s">
        <v>197</v>
      </c>
      <c r="C248" s="129" t="s">
        <v>296</v>
      </c>
      <c r="D248" s="129" t="s">
        <v>612</v>
      </c>
      <c r="E248" s="129" t="s">
        <v>778</v>
      </c>
      <c r="F248" s="130">
        <v>0.02</v>
      </c>
      <c r="G248" s="130">
        <v>0</v>
      </c>
      <c r="H248" s="130">
        <f>F248*AE248</f>
        <v>0</v>
      </c>
      <c r="I248" s="130">
        <f>J248-H248</f>
        <v>0</v>
      </c>
      <c r="J248" s="130">
        <f>F248*G248</f>
        <v>0</v>
      </c>
      <c r="K248" s="130">
        <v>0</v>
      </c>
      <c r="L248" s="130">
        <f>F248*K248</f>
        <v>0</v>
      </c>
      <c r="M248" s="131" t="s">
        <v>803</v>
      </c>
      <c r="P248" s="19">
        <f>IF(AG248="5",J248,0)</f>
        <v>0</v>
      </c>
      <c r="R248" s="19">
        <f>IF(AG248="1",H248,0)</f>
        <v>0</v>
      </c>
      <c r="S248" s="19">
        <f>IF(AG248="1",I248,0)</f>
        <v>0</v>
      </c>
      <c r="T248" s="19">
        <f>IF(AG248="7",H248,0)</f>
        <v>0</v>
      </c>
      <c r="U248" s="19">
        <f>IF(AG248="7",I248,0)</f>
        <v>0</v>
      </c>
      <c r="V248" s="19">
        <f>IF(AG248="2",H248,0)</f>
        <v>0</v>
      </c>
      <c r="W248" s="19">
        <f>IF(AG248="2",I248,0)</f>
        <v>0</v>
      </c>
      <c r="X248" s="19">
        <f>IF(AG248="0",J248,0)</f>
        <v>0</v>
      </c>
      <c r="Y248" s="13" t="s">
        <v>197</v>
      </c>
      <c r="Z248" s="10">
        <f>IF(AD248=0,J248,0)</f>
        <v>0</v>
      </c>
      <c r="AA248" s="10">
        <f>IF(AD248=15,J248,0)</f>
        <v>0</v>
      </c>
      <c r="AB248" s="10">
        <f>IF(AD248=21,J248,0)</f>
        <v>0</v>
      </c>
      <c r="AD248" s="19">
        <v>21</v>
      </c>
      <c r="AE248" s="19">
        <f>G248*0</f>
        <v>0</v>
      </c>
      <c r="AF248" s="19">
        <f>G248*(1-0)</f>
        <v>0</v>
      </c>
      <c r="AG248" s="15" t="s">
        <v>11</v>
      </c>
      <c r="AM248" s="19">
        <f>F248*AE248</f>
        <v>0</v>
      </c>
      <c r="AN248" s="19">
        <f>F248*AF248</f>
        <v>0</v>
      </c>
      <c r="AO248" s="20" t="s">
        <v>831</v>
      </c>
      <c r="AP248" s="20" t="s">
        <v>853</v>
      </c>
      <c r="AQ248" s="13" t="s">
        <v>859</v>
      </c>
      <c r="AS248" s="19">
        <f>AM248+AN248</f>
        <v>0</v>
      </c>
      <c r="AT248" s="19">
        <f>G248/(100-AU248)*100</f>
        <v>0</v>
      </c>
      <c r="AU248" s="19">
        <v>0</v>
      </c>
      <c r="AV248" s="19">
        <f>L248</f>
        <v>0</v>
      </c>
    </row>
    <row r="249" spans="1:37" ht="12.75">
      <c r="A249" s="125"/>
      <c r="B249" s="126" t="s">
        <v>197</v>
      </c>
      <c r="C249" s="126" t="s">
        <v>297</v>
      </c>
      <c r="D249" s="126" t="s">
        <v>613</v>
      </c>
      <c r="E249" s="125" t="s">
        <v>6</v>
      </c>
      <c r="F249" s="125" t="s">
        <v>6</v>
      </c>
      <c r="G249" s="125" t="s">
        <v>6</v>
      </c>
      <c r="H249" s="127">
        <f>SUM(H250:H270)</f>
        <v>0</v>
      </c>
      <c r="I249" s="127">
        <f>SUM(I250:I270)</f>
        <v>0</v>
      </c>
      <c r="J249" s="127">
        <f>H249+I249</f>
        <v>0</v>
      </c>
      <c r="K249" s="128"/>
      <c r="L249" s="127">
        <f>SUM(L250:L270)</f>
        <v>0.22771000000000002</v>
      </c>
      <c r="M249" s="128"/>
      <c r="Y249" s="13" t="s">
        <v>197</v>
      </c>
      <c r="AI249" s="22">
        <f>SUM(Z250:Z270)</f>
        <v>0</v>
      </c>
      <c r="AJ249" s="22">
        <f>SUM(AA250:AA270)</f>
        <v>0</v>
      </c>
      <c r="AK249" s="22">
        <f>SUM(AB250:AB270)</f>
        <v>0</v>
      </c>
    </row>
    <row r="250" spans="1:48" ht="12.75">
      <c r="A250" s="129" t="s">
        <v>101</v>
      </c>
      <c r="B250" s="129" t="s">
        <v>197</v>
      </c>
      <c r="C250" s="129" t="s">
        <v>298</v>
      </c>
      <c r="D250" s="129" t="s">
        <v>614</v>
      </c>
      <c r="E250" s="129" t="s">
        <v>780</v>
      </c>
      <c r="F250" s="130">
        <v>1</v>
      </c>
      <c r="G250" s="130">
        <v>0</v>
      </c>
      <c r="H250" s="130">
        <f aca="true" t="shared" si="40" ref="H250:H270">F250*AE250</f>
        <v>0</v>
      </c>
      <c r="I250" s="130">
        <f aca="true" t="shared" si="41" ref="I250:I270">J250-H250</f>
        <v>0</v>
      </c>
      <c r="J250" s="130">
        <f aca="true" t="shared" si="42" ref="J250:J270">F250*G250</f>
        <v>0</v>
      </c>
      <c r="K250" s="130">
        <v>0.02872</v>
      </c>
      <c r="L250" s="130">
        <f aca="true" t="shared" si="43" ref="L250:L270">F250*K250</f>
        <v>0.02872</v>
      </c>
      <c r="M250" s="131" t="s">
        <v>803</v>
      </c>
      <c r="P250" s="19">
        <f aca="true" t="shared" si="44" ref="P250:P270">IF(AG250="5",J250,0)</f>
        <v>0</v>
      </c>
      <c r="R250" s="19">
        <f aca="true" t="shared" si="45" ref="R250:R270">IF(AG250="1",H250,0)</f>
        <v>0</v>
      </c>
      <c r="S250" s="19">
        <f aca="true" t="shared" si="46" ref="S250:S270">IF(AG250="1",I250,0)</f>
        <v>0</v>
      </c>
      <c r="T250" s="19">
        <f aca="true" t="shared" si="47" ref="T250:T270">IF(AG250="7",H250,0)</f>
        <v>0</v>
      </c>
      <c r="U250" s="19">
        <f aca="true" t="shared" si="48" ref="U250:U270">IF(AG250="7",I250,0)</f>
        <v>0</v>
      </c>
      <c r="V250" s="19">
        <f aca="true" t="shared" si="49" ref="V250:V270">IF(AG250="2",H250,0)</f>
        <v>0</v>
      </c>
      <c r="W250" s="19">
        <f aca="true" t="shared" si="50" ref="W250:W270">IF(AG250="2",I250,0)</f>
        <v>0</v>
      </c>
      <c r="X250" s="19">
        <f aca="true" t="shared" si="51" ref="X250:X270">IF(AG250="0",J250,0)</f>
        <v>0</v>
      </c>
      <c r="Y250" s="13" t="s">
        <v>197</v>
      </c>
      <c r="Z250" s="10">
        <f aca="true" t="shared" si="52" ref="Z250:Z270">IF(AD250=0,J250,0)</f>
        <v>0</v>
      </c>
      <c r="AA250" s="10">
        <f aca="true" t="shared" si="53" ref="AA250:AA270">IF(AD250=15,J250,0)</f>
        <v>0</v>
      </c>
      <c r="AB250" s="10">
        <f aca="true" t="shared" si="54" ref="AB250:AB270">IF(AD250=21,J250,0)</f>
        <v>0</v>
      </c>
      <c r="AD250" s="19">
        <v>21</v>
      </c>
      <c r="AE250" s="19">
        <f>G250*0.880425974025974</f>
        <v>0</v>
      </c>
      <c r="AF250" s="19">
        <f>G250*(1-0.880425974025974)</f>
        <v>0</v>
      </c>
      <c r="AG250" s="15" t="s">
        <v>13</v>
      </c>
      <c r="AM250" s="19">
        <f aca="true" t="shared" si="55" ref="AM250:AM270">F250*AE250</f>
        <v>0</v>
      </c>
      <c r="AN250" s="19">
        <f aca="true" t="shared" si="56" ref="AN250:AN270">F250*AF250</f>
        <v>0</v>
      </c>
      <c r="AO250" s="20" t="s">
        <v>832</v>
      </c>
      <c r="AP250" s="20" t="s">
        <v>853</v>
      </c>
      <c r="AQ250" s="13" t="s">
        <v>859</v>
      </c>
      <c r="AS250" s="19">
        <f aca="true" t="shared" si="57" ref="AS250:AS270">AM250+AN250</f>
        <v>0</v>
      </c>
      <c r="AT250" s="19">
        <f aca="true" t="shared" si="58" ref="AT250:AT270">G250/(100-AU250)*100</f>
        <v>0</v>
      </c>
      <c r="AU250" s="19">
        <v>0</v>
      </c>
      <c r="AV250" s="19">
        <f aca="true" t="shared" si="59" ref="AV250:AV270">L250</f>
        <v>0.02872</v>
      </c>
    </row>
    <row r="251" spans="1:48" ht="12.75">
      <c r="A251" s="129" t="s">
        <v>102</v>
      </c>
      <c r="B251" s="129" t="s">
        <v>197</v>
      </c>
      <c r="C251" s="129" t="s">
        <v>299</v>
      </c>
      <c r="D251" s="129" t="s">
        <v>615</v>
      </c>
      <c r="E251" s="129" t="s">
        <v>780</v>
      </c>
      <c r="F251" s="130">
        <v>1</v>
      </c>
      <c r="G251" s="130">
        <v>0</v>
      </c>
      <c r="H251" s="130">
        <f t="shared" si="40"/>
        <v>0</v>
      </c>
      <c r="I251" s="130">
        <f t="shared" si="41"/>
        <v>0</v>
      </c>
      <c r="J251" s="130">
        <f t="shared" si="42"/>
        <v>0</v>
      </c>
      <c r="K251" s="130">
        <v>0.01621</v>
      </c>
      <c r="L251" s="130">
        <f t="shared" si="43"/>
        <v>0.01621</v>
      </c>
      <c r="M251" s="131" t="s">
        <v>803</v>
      </c>
      <c r="P251" s="19">
        <f t="shared" si="44"/>
        <v>0</v>
      </c>
      <c r="R251" s="19">
        <f t="shared" si="45"/>
        <v>0</v>
      </c>
      <c r="S251" s="19">
        <f t="shared" si="46"/>
        <v>0</v>
      </c>
      <c r="T251" s="19">
        <f t="shared" si="47"/>
        <v>0</v>
      </c>
      <c r="U251" s="19">
        <f t="shared" si="48"/>
        <v>0</v>
      </c>
      <c r="V251" s="19">
        <f t="shared" si="49"/>
        <v>0</v>
      </c>
      <c r="W251" s="19">
        <f t="shared" si="50"/>
        <v>0</v>
      </c>
      <c r="X251" s="19">
        <f t="shared" si="51"/>
        <v>0</v>
      </c>
      <c r="Y251" s="13" t="s">
        <v>197</v>
      </c>
      <c r="Z251" s="10">
        <f t="shared" si="52"/>
        <v>0</v>
      </c>
      <c r="AA251" s="10">
        <f t="shared" si="53"/>
        <v>0</v>
      </c>
      <c r="AB251" s="10">
        <f t="shared" si="54"/>
        <v>0</v>
      </c>
      <c r="AD251" s="19">
        <v>21</v>
      </c>
      <c r="AE251" s="19">
        <f>G251*0.819051239669422</f>
        <v>0</v>
      </c>
      <c r="AF251" s="19">
        <f>G251*(1-0.819051239669422)</f>
        <v>0</v>
      </c>
      <c r="AG251" s="15" t="s">
        <v>13</v>
      </c>
      <c r="AM251" s="19">
        <f t="shared" si="55"/>
        <v>0</v>
      </c>
      <c r="AN251" s="19">
        <f t="shared" si="56"/>
        <v>0</v>
      </c>
      <c r="AO251" s="20" t="s">
        <v>832</v>
      </c>
      <c r="AP251" s="20" t="s">
        <v>853</v>
      </c>
      <c r="AQ251" s="13" t="s">
        <v>859</v>
      </c>
      <c r="AS251" s="19">
        <f t="shared" si="57"/>
        <v>0</v>
      </c>
      <c r="AT251" s="19">
        <f t="shared" si="58"/>
        <v>0</v>
      </c>
      <c r="AU251" s="19">
        <v>0</v>
      </c>
      <c r="AV251" s="19">
        <f t="shared" si="59"/>
        <v>0.01621</v>
      </c>
    </row>
    <row r="252" spans="1:48" ht="12.75">
      <c r="A252" s="129" t="s">
        <v>103</v>
      </c>
      <c r="B252" s="129" t="s">
        <v>197</v>
      </c>
      <c r="C252" s="129" t="s">
        <v>300</v>
      </c>
      <c r="D252" s="129" t="s">
        <v>616</v>
      </c>
      <c r="E252" s="129" t="s">
        <v>780</v>
      </c>
      <c r="F252" s="130">
        <v>1</v>
      </c>
      <c r="G252" s="130">
        <v>0</v>
      </c>
      <c r="H252" s="130">
        <f t="shared" si="40"/>
        <v>0</v>
      </c>
      <c r="I252" s="130">
        <f t="shared" si="41"/>
        <v>0</v>
      </c>
      <c r="J252" s="130">
        <f t="shared" si="42"/>
        <v>0</v>
      </c>
      <c r="K252" s="130">
        <v>0.00109</v>
      </c>
      <c r="L252" s="130">
        <f t="shared" si="43"/>
        <v>0.00109</v>
      </c>
      <c r="M252" s="131" t="s">
        <v>803</v>
      </c>
      <c r="P252" s="19">
        <f t="shared" si="44"/>
        <v>0</v>
      </c>
      <c r="R252" s="19">
        <f t="shared" si="45"/>
        <v>0</v>
      </c>
      <c r="S252" s="19">
        <f t="shared" si="46"/>
        <v>0</v>
      </c>
      <c r="T252" s="19">
        <f t="shared" si="47"/>
        <v>0</v>
      </c>
      <c r="U252" s="19">
        <f t="shared" si="48"/>
        <v>0</v>
      </c>
      <c r="V252" s="19">
        <f t="shared" si="49"/>
        <v>0</v>
      </c>
      <c r="W252" s="19">
        <f t="shared" si="50"/>
        <v>0</v>
      </c>
      <c r="X252" s="19">
        <f t="shared" si="51"/>
        <v>0</v>
      </c>
      <c r="Y252" s="13" t="s">
        <v>197</v>
      </c>
      <c r="Z252" s="10">
        <f t="shared" si="52"/>
        <v>0</v>
      </c>
      <c r="AA252" s="10">
        <f t="shared" si="53"/>
        <v>0</v>
      </c>
      <c r="AB252" s="10">
        <f t="shared" si="54"/>
        <v>0</v>
      </c>
      <c r="AD252" s="19">
        <v>21</v>
      </c>
      <c r="AE252" s="19">
        <f>G252*0.710826709062003</f>
        <v>0</v>
      </c>
      <c r="AF252" s="19">
        <f>G252*(1-0.710826709062003)</f>
        <v>0</v>
      </c>
      <c r="AG252" s="15" t="s">
        <v>13</v>
      </c>
      <c r="AM252" s="19">
        <f t="shared" si="55"/>
        <v>0</v>
      </c>
      <c r="AN252" s="19">
        <f t="shared" si="56"/>
        <v>0</v>
      </c>
      <c r="AO252" s="20" t="s">
        <v>832</v>
      </c>
      <c r="AP252" s="20" t="s">
        <v>853</v>
      </c>
      <c r="AQ252" s="13" t="s">
        <v>859</v>
      </c>
      <c r="AS252" s="19">
        <f t="shared" si="57"/>
        <v>0</v>
      </c>
      <c r="AT252" s="19">
        <f t="shared" si="58"/>
        <v>0</v>
      </c>
      <c r="AU252" s="19">
        <v>0</v>
      </c>
      <c r="AV252" s="19">
        <f t="shared" si="59"/>
        <v>0.00109</v>
      </c>
    </row>
    <row r="253" spans="1:48" ht="12.75">
      <c r="A253" s="129" t="s">
        <v>104</v>
      </c>
      <c r="B253" s="129" t="s">
        <v>197</v>
      </c>
      <c r="C253" s="129" t="s">
        <v>301</v>
      </c>
      <c r="D253" s="129" t="s">
        <v>617</v>
      </c>
      <c r="E253" s="129" t="s">
        <v>780</v>
      </c>
      <c r="F253" s="130">
        <v>4</v>
      </c>
      <c r="G253" s="130">
        <v>0</v>
      </c>
      <c r="H253" s="130">
        <f t="shared" si="40"/>
        <v>0</v>
      </c>
      <c r="I253" s="130">
        <f t="shared" si="41"/>
        <v>0</v>
      </c>
      <c r="J253" s="130">
        <f t="shared" si="42"/>
        <v>0</v>
      </c>
      <c r="K253" s="130">
        <v>0.00024</v>
      </c>
      <c r="L253" s="130">
        <f t="shared" si="43"/>
        <v>0.00096</v>
      </c>
      <c r="M253" s="131" t="s">
        <v>803</v>
      </c>
      <c r="P253" s="19">
        <f t="shared" si="44"/>
        <v>0</v>
      </c>
      <c r="R253" s="19">
        <f t="shared" si="45"/>
        <v>0</v>
      </c>
      <c r="S253" s="19">
        <f t="shared" si="46"/>
        <v>0</v>
      </c>
      <c r="T253" s="19">
        <f t="shared" si="47"/>
        <v>0</v>
      </c>
      <c r="U253" s="19">
        <f t="shared" si="48"/>
        <v>0</v>
      </c>
      <c r="V253" s="19">
        <f t="shared" si="49"/>
        <v>0</v>
      </c>
      <c r="W253" s="19">
        <f t="shared" si="50"/>
        <v>0</v>
      </c>
      <c r="X253" s="19">
        <f t="shared" si="51"/>
        <v>0</v>
      </c>
      <c r="Y253" s="13" t="s">
        <v>197</v>
      </c>
      <c r="Z253" s="10">
        <f t="shared" si="52"/>
        <v>0</v>
      </c>
      <c r="AA253" s="10">
        <f t="shared" si="53"/>
        <v>0</v>
      </c>
      <c r="AB253" s="10">
        <f t="shared" si="54"/>
        <v>0</v>
      </c>
      <c r="AD253" s="19">
        <v>21</v>
      </c>
      <c r="AE253" s="19">
        <f>G253*0.810405904059041</f>
        <v>0</v>
      </c>
      <c r="AF253" s="19">
        <f>G253*(1-0.810405904059041)</f>
        <v>0</v>
      </c>
      <c r="AG253" s="15" t="s">
        <v>13</v>
      </c>
      <c r="AM253" s="19">
        <f t="shared" si="55"/>
        <v>0</v>
      </c>
      <c r="AN253" s="19">
        <f t="shared" si="56"/>
        <v>0</v>
      </c>
      <c r="AO253" s="20" t="s">
        <v>832</v>
      </c>
      <c r="AP253" s="20" t="s">
        <v>853</v>
      </c>
      <c r="AQ253" s="13" t="s">
        <v>859</v>
      </c>
      <c r="AS253" s="19">
        <f t="shared" si="57"/>
        <v>0</v>
      </c>
      <c r="AT253" s="19">
        <f t="shared" si="58"/>
        <v>0</v>
      </c>
      <c r="AU253" s="19">
        <v>0</v>
      </c>
      <c r="AV253" s="19">
        <f t="shared" si="59"/>
        <v>0.00096</v>
      </c>
    </row>
    <row r="254" spans="1:48" ht="12.75">
      <c r="A254" s="129" t="s">
        <v>105</v>
      </c>
      <c r="B254" s="129" t="s">
        <v>197</v>
      </c>
      <c r="C254" s="129" t="s">
        <v>302</v>
      </c>
      <c r="D254" s="129" t="s">
        <v>618</v>
      </c>
      <c r="E254" s="129" t="s">
        <v>777</v>
      </c>
      <c r="F254" s="130">
        <v>1</v>
      </c>
      <c r="G254" s="130">
        <v>0</v>
      </c>
      <c r="H254" s="130">
        <f t="shared" si="40"/>
        <v>0</v>
      </c>
      <c r="I254" s="130">
        <f t="shared" si="41"/>
        <v>0</v>
      </c>
      <c r="J254" s="130">
        <f t="shared" si="42"/>
        <v>0</v>
      </c>
      <c r="K254" s="130">
        <v>0.00085</v>
      </c>
      <c r="L254" s="130">
        <f t="shared" si="43"/>
        <v>0.00085</v>
      </c>
      <c r="M254" s="131" t="s">
        <v>803</v>
      </c>
      <c r="P254" s="19">
        <f t="shared" si="44"/>
        <v>0</v>
      </c>
      <c r="R254" s="19">
        <f t="shared" si="45"/>
        <v>0</v>
      </c>
      <c r="S254" s="19">
        <f t="shared" si="46"/>
        <v>0</v>
      </c>
      <c r="T254" s="19">
        <f t="shared" si="47"/>
        <v>0</v>
      </c>
      <c r="U254" s="19">
        <f t="shared" si="48"/>
        <v>0</v>
      </c>
      <c r="V254" s="19">
        <f t="shared" si="49"/>
        <v>0</v>
      </c>
      <c r="W254" s="19">
        <f t="shared" si="50"/>
        <v>0</v>
      </c>
      <c r="X254" s="19">
        <f t="shared" si="51"/>
        <v>0</v>
      </c>
      <c r="Y254" s="13" t="s">
        <v>197</v>
      </c>
      <c r="Z254" s="10">
        <f t="shared" si="52"/>
        <v>0</v>
      </c>
      <c r="AA254" s="10">
        <f t="shared" si="53"/>
        <v>0</v>
      </c>
      <c r="AB254" s="10">
        <f t="shared" si="54"/>
        <v>0</v>
      </c>
      <c r="AD254" s="19">
        <v>21</v>
      </c>
      <c r="AE254" s="19">
        <f>G254*0.904023945861531</f>
        <v>0</v>
      </c>
      <c r="AF254" s="19">
        <f>G254*(1-0.904023945861531)</f>
        <v>0</v>
      </c>
      <c r="AG254" s="15" t="s">
        <v>13</v>
      </c>
      <c r="AM254" s="19">
        <f t="shared" si="55"/>
        <v>0</v>
      </c>
      <c r="AN254" s="19">
        <f t="shared" si="56"/>
        <v>0</v>
      </c>
      <c r="AO254" s="20" t="s">
        <v>832</v>
      </c>
      <c r="AP254" s="20" t="s">
        <v>853</v>
      </c>
      <c r="AQ254" s="13" t="s">
        <v>859</v>
      </c>
      <c r="AS254" s="19">
        <f t="shared" si="57"/>
        <v>0</v>
      </c>
      <c r="AT254" s="19">
        <f t="shared" si="58"/>
        <v>0</v>
      </c>
      <c r="AU254" s="19">
        <v>0</v>
      </c>
      <c r="AV254" s="19">
        <f t="shared" si="59"/>
        <v>0.00085</v>
      </c>
    </row>
    <row r="255" spans="1:48" ht="12.75">
      <c r="A255" s="129" t="s">
        <v>106</v>
      </c>
      <c r="B255" s="129" t="s">
        <v>197</v>
      </c>
      <c r="C255" s="129" t="s">
        <v>303</v>
      </c>
      <c r="D255" s="129" t="s">
        <v>619</v>
      </c>
      <c r="E255" s="129" t="s">
        <v>777</v>
      </c>
      <c r="F255" s="130">
        <v>1</v>
      </c>
      <c r="G255" s="130">
        <v>0</v>
      </c>
      <c r="H255" s="130">
        <f t="shared" si="40"/>
        <v>0</v>
      </c>
      <c r="I255" s="130">
        <f t="shared" si="41"/>
        <v>0</v>
      </c>
      <c r="J255" s="130">
        <f t="shared" si="42"/>
        <v>0</v>
      </c>
      <c r="K255" s="130">
        <v>0.00164</v>
      </c>
      <c r="L255" s="130">
        <f t="shared" si="43"/>
        <v>0.00164</v>
      </c>
      <c r="M255" s="131" t="s">
        <v>803</v>
      </c>
      <c r="P255" s="19">
        <f t="shared" si="44"/>
        <v>0</v>
      </c>
      <c r="R255" s="19">
        <f t="shared" si="45"/>
        <v>0</v>
      </c>
      <c r="S255" s="19">
        <f t="shared" si="46"/>
        <v>0</v>
      </c>
      <c r="T255" s="19">
        <f t="shared" si="47"/>
        <v>0</v>
      </c>
      <c r="U255" s="19">
        <f t="shared" si="48"/>
        <v>0</v>
      </c>
      <c r="V255" s="19">
        <f t="shared" si="49"/>
        <v>0</v>
      </c>
      <c r="W255" s="19">
        <f t="shared" si="50"/>
        <v>0</v>
      </c>
      <c r="X255" s="19">
        <f t="shared" si="51"/>
        <v>0</v>
      </c>
      <c r="Y255" s="13" t="s">
        <v>197</v>
      </c>
      <c r="Z255" s="10">
        <f t="shared" si="52"/>
        <v>0</v>
      </c>
      <c r="AA255" s="10">
        <f t="shared" si="53"/>
        <v>0</v>
      </c>
      <c r="AB255" s="10">
        <f t="shared" si="54"/>
        <v>0</v>
      </c>
      <c r="AD255" s="19">
        <v>21</v>
      </c>
      <c r="AE255" s="19">
        <f>G255*0.896421348314607</f>
        <v>0</v>
      </c>
      <c r="AF255" s="19">
        <f>G255*(1-0.896421348314607)</f>
        <v>0</v>
      </c>
      <c r="AG255" s="15" t="s">
        <v>13</v>
      </c>
      <c r="AM255" s="19">
        <f t="shared" si="55"/>
        <v>0</v>
      </c>
      <c r="AN255" s="19">
        <f t="shared" si="56"/>
        <v>0</v>
      </c>
      <c r="AO255" s="20" t="s">
        <v>832</v>
      </c>
      <c r="AP255" s="20" t="s">
        <v>853</v>
      </c>
      <c r="AQ255" s="13" t="s">
        <v>859</v>
      </c>
      <c r="AS255" s="19">
        <f t="shared" si="57"/>
        <v>0</v>
      </c>
      <c r="AT255" s="19">
        <f t="shared" si="58"/>
        <v>0</v>
      </c>
      <c r="AU255" s="19">
        <v>0</v>
      </c>
      <c r="AV255" s="19">
        <f t="shared" si="59"/>
        <v>0.00164</v>
      </c>
    </row>
    <row r="256" spans="1:48" ht="12.75">
      <c r="A256" s="129" t="s">
        <v>107</v>
      </c>
      <c r="B256" s="129" t="s">
        <v>197</v>
      </c>
      <c r="C256" s="129" t="s">
        <v>304</v>
      </c>
      <c r="D256" s="129" t="s">
        <v>620</v>
      </c>
      <c r="E256" s="129" t="s">
        <v>777</v>
      </c>
      <c r="F256" s="130">
        <v>1</v>
      </c>
      <c r="G256" s="130">
        <v>0</v>
      </c>
      <c r="H256" s="130">
        <f t="shared" si="40"/>
        <v>0</v>
      </c>
      <c r="I256" s="130">
        <f t="shared" si="41"/>
        <v>0</v>
      </c>
      <c r="J256" s="130">
        <f t="shared" si="42"/>
        <v>0</v>
      </c>
      <c r="K256" s="130">
        <v>0.00152</v>
      </c>
      <c r="L256" s="130">
        <f t="shared" si="43"/>
        <v>0.00152</v>
      </c>
      <c r="M256" s="131" t="s">
        <v>803</v>
      </c>
      <c r="P256" s="19">
        <f t="shared" si="44"/>
        <v>0</v>
      </c>
      <c r="R256" s="19">
        <f t="shared" si="45"/>
        <v>0</v>
      </c>
      <c r="S256" s="19">
        <f t="shared" si="46"/>
        <v>0</v>
      </c>
      <c r="T256" s="19">
        <f t="shared" si="47"/>
        <v>0</v>
      </c>
      <c r="U256" s="19">
        <f t="shared" si="48"/>
        <v>0</v>
      </c>
      <c r="V256" s="19">
        <f t="shared" si="49"/>
        <v>0</v>
      </c>
      <c r="W256" s="19">
        <f t="shared" si="50"/>
        <v>0</v>
      </c>
      <c r="X256" s="19">
        <f t="shared" si="51"/>
        <v>0</v>
      </c>
      <c r="Y256" s="13" t="s">
        <v>197</v>
      </c>
      <c r="Z256" s="10">
        <f t="shared" si="52"/>
        <v>0</v>
      </c>
      <c r="AA256" s="10">
        <f t="shared" si="53"/>
        <v>0</v>
      </c>
      <c r="AB256" s="10">
        <f t="shared" si="54"/>
        <v>0</v>
      </c>
      <c r="AD256" s="19">
        <v>21</v>
      </c>
      <c r="AE256" s="19">
        <f>G256*0.865257617728532</f>
        <v>0</v>
      </c>
      <c r="AF256" s="19">
        <f>G256*(1-0.865257617728532)</f>
        <v>0</v>
      </c>
      <c r="AG256" s="15" t="s">
        <v>13</v>
      </c>
      <c r="AM256" s="19">
        <f t="shared" si="55"/>
        <v>0</v>
      </c>
      <c r="AN256" s="19">
        <f t="shared" si="56"/>
        <v>0</v>
      </c>
      <c r="AO256" s="20" t="s">
        <v>832</v>
      </c>
      <c r="AP256" s="20" t="s">
        <v>853</v>
      </c>
      <c r="AQ256" s="13" t="s">
        <v>859</v>
      </c>
      <c r="AS256" s="19">
        <f t="shared" si="57"/>
        <v>0</v>
      </c>
      <c r="AT256" s="19">
        <f t="shared" si="58"/>
        <v>0</v>
      </c>
      <c r="AU256" s="19">
        <v>0</v>
      </c>
      <c r="AV256" s="19">
        <f t="shared" si="59"/>
        <v>0.00152</v>
      </c>
    </row>
    <row r="257" spans="1:48" ht="12.75">
      <c r="A257" s="129" t="s">
        <v>108</v>
      </c>
      <c r="B257" s="129" t="s">
        <v>197</v>
      </c>
      <c r="C257" s="129" t="s">
        <v>305</v>
      </c>
      <c r="D257" s="129" t="s">
        <v>621</v>
      </c>
      <c r="E257" s="129" t="s">
        <v>781</v>
      </c>
      <c r="F257" s="130">
        <v>1</v>
      </c>
      <c r="G257" s="130">
        <v>0</v>
      </c>
      <c r="H257" s="130">
        <f t="shared" si="40"/>
        <v>0</v>
      </c>
      <c r="I257" s="130">
        <f t="shared" si="41"/>
        <v>0</v>
      </c>
      <c r="J257" s="130">
        <f t="shared" si="42"/>
        <v>0</v>
      </c>
      <c r="K257" s="130">
        <v>0</v>
      </c>
      <c r="L257" s="130">
        <f t="shared" si="43"/>
        <v>0</v>
      </c>
      <c r="M257" s="131" t="s">
        <v>803</v>
      </c>
      <c r="P257" s="19">
        <f t="shared" si="44"/>
        <v>0</v>
      </c>
      <c r="R257" s="19">
        <f t="shared" si="45"/>
        <v>0</v>
      </c>
      <c r="S257" s="19">
        <f t="shared" si="46"/>
        <v>0</v>
      </c>
      <c r="T257" s="19">
        <f t="shared" si="47"/>
        <v>0</v>
      </c>
      <c r="U257" s="19">
        <f t="shared" si="48"/>
        <v>0</v>
      </c>
      <c r="V257" s="19">
        <f t="shared" si="49"/>
        <v>0</v>
      </c>
      <c r="W257" s="19">
        <f t="shared" si="50"/>
        <v>0</v>
      </c>
      <c r="X257" s="19">
        <f t="shared" si="51"/>
        <v>0</v>
      </c>
      <c r="Y257" s="13" t="s">
        <v>197</v>
      </c>
      <c r="Z257" s="10">
        <f t="shared" si="52"/>
        <v>0</v>
      </c>
      <c r="AA257" s="10">
        <f t="shared" si="53"/>
        <v>0</v>
      </c>
      <c r="AB257" s="10">
        <f t="shared" si="54"/>
        <v>0</v>
      </c>
      <c r="AD257" s="19">
        <v>21</v>
      </c>
      <c r="AE257" s="19">
        <f>G257*0</f>
        <v>0</v>
      </c>
      <c r="AF257" s="19">
        <f>G257*(1-0)</f>
        <v>0</v>
      </c>
      <c r="AG257" s="15" t="s">
        <v>13</v>
      </c>
      <c r="AM257" s="19">
        <f t="shared" si="55"/>
        <v>0</v>
      </c>
      <c r="AN257" s="19">
        <f t="shared" si="56"/>
        <v>0</v>
      </c>
      <c r="AO257" s="20" t="s">
        <v>832</v>
      </c>
      <c r="AP257" s="20" t="s">
        <v>853</v>
      </c>
      <c r="AQ257" s="13" t="s">
        <v>859</v>
      </c>
      <c r="AS257" s="19">
        <f t="shared" si="57"/>
        <v>0</v>
      </c>
      <c r="AT257" s="19">
        <f t="shared" si="58"/>
        <v>0</v>
      </c>
      <c r="AU257" s="19">
        <v>0</v>
      </c>
      <c r="AV257" s="19">
        <f t="shared" si="59"/>
        <v>0</v>
      </c>
    </row>
    <row r="258" spans="1:48" ht="12.75">
      <c r="A258" s="129" t="s">
        <v>109</v>
      </c>
      <c r="B258" s="129" t="s">
        <v>197</v>
      </c>
      <c r="C258" s="129" t="s">
        <v>306</v>
      </c>
      <c r="D258" s="129" t="s">
        <v>622</v>
      </c>
      <c r="E258" s="129" t="s">
        <v>782</v>
      </c>
      <c r="F258" s="130">
        <v>1</v>
      </c>
      <c r="G258" s="130">
        <v>0</v>
      </c>
      <c r="H258" s="130">
        <f t="shared" si="40"/>
        <v>0</v>
      </c>
      <c r="I258" s="130">
        <f t="shared" si="41"/>
        <v>0</v>
      </c>
      <c r="J258" s="130">
        <f t="shared" si="42"/>
        <v>0</v>
      </c>
      <c r="K258" s="130">
        <v>0</v>
      </c>
      <c r="L258" s="130">
        <f t="shared" si="43"/>
        <v>0</v>
      </c>
      <c r="M258" s="131" t="s">
        <v>805</v>
      </c>
      <c r="P258" s="19">
        <f t="shared" si="44"/>
        <v>0</v>
      </c>
      <c r="R258" s="19">
        <f t="shared" si="45"/>
        <v>0</v>
      </c>
      <c r="S258" s="19">
        <f t="shared" si="46"/>
        <v>0</v>
      </c>
      <c r="T258" s="19">
        <f t="shared" si="47"/>
        <v>0</v>
      </c>
      <c r="U258" s="19">
        <f t="shared" si="48"/>
        <v>0</v>
      </c>
      <c r="V258" s="19">
        <f t="shared" si="49"/>
        <v>0</v>
      </c>
      <c r="W258" s="19">
        <f t="shared" si="50"/>
        <v>0</v>
      </c>
      <c r="X258" s="19">
        <f t="shared" si="51"/>
        <v>0</v>
      </c>
      <c r="Y258" s="13" t="s">
        <v>197</v>
      </c>
      <c r="Z258" s="10">
        <f t="shared" si="52"/>
        <v>0</v>
      </c>
      <c r="AA258" s="10">
        <f t="shared" si="53"/>
        <v>0</v>
      </c>
      <c r="AB258" s="10">
        <f t="shared" si="54"/>
        <v>0</v>
      </c>
      <c r="AD258" s="19">
        <v>21</v>
      </c>
      <c r="AE258" s="19">
        <f>G258*0</f>
        <v>0</v>
      </c>
      <c r="AF258" s="19">
        <f>G258*(1-0)</f>
        <v>0</v>
      </c>
      <c r="AG258" s="15" t="s">
        <v>13</v>
      </c>
      <c r="AM258" s="19">
        <f t="shared" si="55"/>
        <v>0</v>
      </c>
      <c r="AN258" s="19">
        <f t="shared" si="56"/>
        <v>0</v>
      </c>
      <c r="AO258" s="20" t="s">
        <v>832</v>
      </c>
      <c r="AP258" s="20" t="s">
        <v>853</v>
      </c>
      <c r="AQ258" s="13" t="s">
        <v>859</v>
      </c>
      <c r="AS258" s="19">
        <f t="shared" si="57"/>
        <v>0</v>
      </c>
      <c r="AT258" s="19">
        <f t="shared" si="58"/>
        <v>0</v>
      </c>
      <c r="AU258" s="19">
        <v>0</v>
      </c>
      <c r="AV258" s="19">
        <f t="shared" si="59"/>
        <v>0</v>
      </c>
    </row>
    <row r="259" spans="1:48" ht="12.75">
      <c r="A259" s="129" t="s">
        <v>110</v>
      </c>
      <c r="B259" s="129" t="s">
        <v>197</v>
      </c>
      <c r="C259" s="129" t="s">
        <v>307</v>
      </c>
      <c r="D259" s="129" t="s">
        <v>623</v>
      </c>
      <c r="E259" s="129" t="s">
        <v>781</v>
      </c>
      <c r="F259" s="130">
        <v>1</v>
      </c>
      <c r="G259" s="130">
        <v>0</v>
      </c>
      <c r="H259" s="130">
        <f t="shared" si="40"/>
        <v>0</v>
      </c>
      <c r="I259" s="130">
        <f t="shared" si="41"/>
        <v>0</v>
      </c>
      <c r="J259" s="130">
        <f t="shared" si="42"/>
        <v>0</v>
      </c>
      <c r="K259" s="130">
        <v>0</v>
      </c>
      <c r="L259" s="130">
        <f t="shared" si="43"/>
        <v>0</v>
      </c>
      <c r="M259" s="131" t="s">
        <v>803</v>
      </c>
      <c r="P259" s="19">
        <f t="shared" si="44"/>
        <v>0</v>
      </c>
      <c r="R259" s="19">
        <f t="shared" si="45"/>
        <v>0</v>
      </c>
      <c r="S259" s="19">
        <f t="shared" si="46"/>
        <v>0</v>
      </c>
      <c r="T259" s="19">
        <f t="shared" si="47"/>
        <v>0</v>
      </c>
      <c r="U259" s="19">
        <f t="shared" si="48"/>
        <v>0</v>
      </c>
      <c r="V259" s="19">
        <f t="shared" si="49"/>
        <v>0</v>
      </c>
      <c r="W259" s="19">
        <f t="shared" si="50"/>
        <v>0</v>
      </c>
      <c r="X259" s="19">
        <f t="shared" si="51"/>
        <v>0</v>
      </c>
      <c r="Y259" s="13" t="s">
        <v>197</v>
      </c>
      <c r="Z259" s="10">
        <f t="shared" si="52"/>
        <v>0</v>
      </c>
      <c r="AA259" s="10">
        <f t="shared" si="53"/>
        <v>0</v>
      </c>
      <c r="AB259" s="10">
        <f t="shared" si="54"/>
        <v>0</v>
      </c>
      <c r="AD259" s="19">
        <v>21</v>
      </c>
      <c r="AE259" s="19">
        <f>G259*0</f>
        <v>0</v>
      </c>
      <c r="AF259" s="19">
        <f>G259*(1-0)</f>
        <v>0</v>
      </c>
      <c r="AG259" s="15" t="s">
        <v>13</v>
      </c>
      <c r="AM259" s="19">
        <f t="shared" si="55"/>
        <v>0</v>
      </c>
      <c r="AN259" s="19">
        <f t="shared" si="56"/>
        <v>0</v>
      </c>
      <c r="AO259" s="20" t="s">
        <v>832</v>
      </c>
      <c r="AP259" s="20" t="s">
        <v>853</v>
      </c>
      <c r="AQ259" s="13" t="s">
        <v>859</v>
      </c>
      <c r="AS259" s="19">
        <f t="shared" si="57"/>
        <v>0</v>
      </c>
      <c r="AT259" s="19">
        <f t="shared" si="58"/>
        <v>0</v>
      </c>
      <c r="AU259" s="19">
        <v>0</v>
      </c>
      <c r="AV259" s="19">
        <f t="shared" si="59"/>
        <v>0</v>
      </c>
    </row>
    <row r="260" spans="1:48" ht="12.75">
      <c r="A260" s="129" t="s">
        <v>111</v>
      </c>
      <c r="B260" s="129" t="s">
        <v>197</v>
      </c>
      <c r="C260" s="129" t="s">
        <v>308</v>
      </c>
      <c r="D260" s="129" t="s">
        <v>624</v>
      </c>
      <c r="E260" s="129" t="s">
        <v>780</v>
      </c>
      <c r="F260" s="130">
        <v>1</v>
      </c>
      <c r="G260" s="130">
        <v>0</v>
      </c>
      <c r="H260" s="130">
        <f t="shared" si="40"/>
        <v>0</v>
      </c>
      <c r="I260" s="130">
        <f t="shared" si="41"/>
        <v>0</v>
      </c>
      <c r="J260" s="130">
        <f t="shared" si="42"/>
        <v>0</v>
      </c>
      <c r="K260" s="130">
        <v>0.00677</v>
      </c>
      <c r="L260" s="130">
        <f t="shared" si="43"/>
        <v>0.00677</v>
      </c>
      <c r="M260" s="131" t="s">
        <v>803</v>
      </c>
      <c r="P260" s="19">
        <f t="shared" si="44"/>
        <v>0</v>
      </c>
      <c r="R260" s="19">
        <f t="shared" si="45"/>
        <v>0</v>
      </c>
      <c r="S260" s="19">
        <f t="shared" si="46"/>
        <v>0</v>
      </c>
      <c r="T260" s="19">
        <f t="shared" si="47"/>
        <v>0</v>
      </c>
      <c r="U260" s="19">
        <f t="shared" si="48"/>
        <v>0</v>
      </c>
      <c r="V260" s="19">
        <f t="shared" si="49"/>
        <v>0</v>
      </c>
      <c r="W260" s="19">
        <f t="shared" si="50"/>
        <v>0</v>
      </c>
      <c r="X260" s="19">
        <f t="shared" si="51"/>
        <v>0</v>
      </c>
      <c r="Y260" s="13" t="s">
        <v>197</v>
      </c>
      <c r="Z260" s="10">
        <f t="shared" si="52"/>
        <v>0</v>
      </c>
      <c r="AA260" s="10">
        <f t="shared" si="53"/>
        <v>0</v>
      </c>
      <c r="AB260" s="10">
        <f t="shared" si="54"/>
        <v>0</v>
      </c>
      <c r="AD260" s="19">
        <v>21</v>
      </c>
      <c r="AE260" s="19">
        <f>G260*0.937635467980296</f>
        <v>0</v>
      </c>
      <c r="AF260" s="19">
        <f>G260*(1-0.937635467980296)</f>
        <v>0</v>
      </c>
      <c r="AG260" s="15" t="s">
        <v>13</v>
      </c>
      <c r="AM260" s="19">
        <f t="shared" si="55"/>
        <v>0</v>
      </c>
      <c r="AN260" s="19">
        <f t="shared" si="56"/>
        <v>0</v>
      </c>
      <c r="AO260" s="20" t="s">
        <v>832</v>
      </c>
      <c r="AP260" s="20" t="s">
        <v>853</v>
      </c>
      <c r="AQ260" s="13" t="s">
        <v>859</v>
      </c>
      <c r="AS260" s="19">
        <f t="shared" si="57"/>
        <v>0</v>
      </c>
      <c r="AT260" s="19">
        <f t="shared" si="58"/>
        <v>0</v>
      </c>
      <c r="AU260" s="19">
        <v>0</v>
      </c>
      <c r="AV260" s="19">
        <f t="shared" si="59"/>
        <v>0.00677</v>
      </c>
    </row>
    <row r="261" spans="1:48" ht="12.75">
      <c r="A261" s="129" t="s">
        <v>112</v>
      </c>
      <c r="B261" s="129" t="s">
        <v>197</v>
      </c>
      <c r="C261" s="129" t="s">
        <v>309</v>
      </c>
      <c r="D261" s="129" t="s">
        <v>625</v>
      </c>
      <c r="E261" s="129" t="s">
        <v>777</v>
      </c>
      <c r="F261" s="130">
        <v>1</v>
      </c>
      <c r="G261" s="130">
        <v>0</v>
      </c>
      <c r="H261" s="130">
        <f t="shared" si="40"/>
        <v>0</v>
      </c>
      <c r="I261" s="130">
        <f t="shared" si="41"/>
        <v>0</v>
      </c>
      <c r="J261" s="130">
        <f t="shared" si="42"/>
        <v>0</v>
      </c>
      <c r="K261" s="130">
        <v>0.00026</v>
      </c>
      <c r="L261" s="130">
        <f t="shared" si="43"/>
        <v>0.00026</v>
      </c>
      <c r="M261" s="131" t="s">
        <v>803</v>
      </c>
      <c r="P261" s="19">
        <f t="shared" si="44"/>
        <v>0</v>
      </c>
      <c r="R261" s="19">
        <f t="shared" si="45"/>
        <v>0</v>
      </c>
      <c r="S261" s="19">
        <f t="shared" si="46"/>
        <v>0</v>
      </c>
      <c r="T261" s="19">
        <f t="shared" si="47"/>
        <v>0</v>
      </c>
      <c r="U261" s="19">
        <f t="shared" si="48"/>
        <v>0</v>
      </c>
      <c r="V261" s="19">
        <f t="shared" si="49"/>
        <v>0</v>
      </c>
      <c r="W261" s="19">
        <f t="shared" si="50"/>
        <v>0</v>
      </c>
      <c r="X261" s="19">
        <f t="shared" si="51"/>
        <v>0</v>
      </c>
      <c r="Y261" s="13" t="s">
        <v>197</v>
      </c>
      <c r="Z261" s="10">
        <f t="shared" si="52"/>
        <v>0</v>
      </c>
      <c r="AA261" s="10">
        <f t="shared" si="53"/>
        <v>0</v>
      </c>
      <c r="AB261" s="10">
        <f t="shared" si="54"/>
        <v>0</v>
      </c>
      <c r="AD261" s="19">
        <v>21</v>
      </c>
      <c r="AE261" s="19">
        <f>G261*0.735958549222798</f>
        <v>0</v>
      </c>
      <c r="AF261" s="19">
        <f>G261*(1-0.735958549222798)</f>
        <v>0</v>
      </c>
      <c r="AG261" s="15" t="s">
        <v>13</v>
      </c>
      <c r="AM261" s="19">
        <f t="shared" si="55"/>
        <v>0</v>
      </c>
      <c r="AN261" s="19">
        <f t="shared" si="56"/>
        <v>0</v>
      </c>
      <c r="AO261" s="20" t="s">
        <v>832</v>
      </c>
      <c r="AP261" s="20" t="s">
        <v>853</v>
      </c>
      <c r="AQ261" s="13" t="s">
        <v>859</v>
      </c>
      <c r="AS261" s="19">
        <f t="shared" si="57"/>
        <v>0</v>
      </c>
      <c r="AT261" s="19">
        <f t="shared" si="58"/>
        <v>0</v>
      </c>
      <c r="AU261" s="19">
        <v>0</v>
      </c>
      <c r="AV261" s="19">
        <f t="shared" si="59"/>
        <v>0.00026</v>
      </c>
    </row>
    <row r="262" spans="1:48" ht="12.75">
      <c r="A262" s="129" t="s">
        <v>113</v>
      </c>
      <c r="B262" s="129" t="s">
        <v>197</v>
      </c>
      <c r="C262" s="129" t="s">
        <v>310</v>
      </c>
      <c r="D262" s="129" t="s">
        <v>626</v>
      </c>
      <c r="E262" s="129" t="s">
        <v>777</v>
      </c>
      <c r="F262" s="130">
        <v>1</v>
      </c>
      <c r="G262" s="130">
        <v>0</v>
      </c>
      <c r="H262" s="130">
        <f t="shared" si="40"/>
        <v>0</v>
      </c>
      <c r="I262" s="130">
        <f t="shared" si="41"/>
        <v>0</v>
      </c>
      <c r="J262" s="130">
        <f t="shared" si="42"/>
        <v>0</v>
      </c>
      <c r="K262" s="130">
        <v>0.0002</v>
      </c>
      <c r="L262" s="130">
        <f t="shared" si="43"/>
        <v>0.0002</v>
      </c>
      <c r="M262" s="131" t="s">
        <v>803</v>
      </c>
      <c r="P262" s="19">
        <f t="shared" si="44"/>
        <v>0</v>
      </c>
      <c r="R262" s="19">
        <f t="shared" si="45"/>
        <v>0</v>
      </c>
      <c r="S262" s="19">
        <f t="shared" si="46"/>
        <v>0</v>
      </c>
      <c r="T262" s="19">
        <f t="shared" si="47"/>
        <v>0</v>
      </c>
      <c r="U262" s="19">
        <f t="shared" si="48"/>
        <v>0</v>
      </c>
      <c r="V262" s="19">
        <f t="shared" si="49"/>
        <v>0</v>
      </c>
      <c r="W262" s="19">
        <f t="shared" si="50"/>
        <v>0</v>
      </c>
      <c r="X262" s="19">
        <f t="shared" si="51"/>
        <v>0</v>
      </c>
      <c r="Y262" s="13" t="s">
        <v>197</v>
      </c>
      <c r="Z262" s="10">
        <f t="shared" si="52"/>
        <v>0</v>
      </c>
      <c r="AA262" s="10">
        <f t="shared" si="53"/>
        <v>0</v>
      </c>
      <c r="AB262" s="10">
        <f t="shared" si="54"/>
        <v>0</v>
      </c>
      <c r="AD262" s="19">
        <v>21</v>
      </c>
      <c r="AE262" s="19">
        <f>G262*0.653921901528014</f>
        <v>0</v>
      </c>
      <c r="AF262" s="19">
        <f>G262*(1-0.653921901528014)</f>
        <v>0</v>
      </c>
      <c r="AG262" s="15" t="s">
        <v>13</v>
      </c>
      <c r="AM262" s="19">
        <f t="shared" si="55"/>
        <v>0</v>
      </c>
      <c r="AN262" s="19">
        <f t="shared" si="56"/>
        <v>0</v>
      </c>
      <c r="AO262" s="20" t="s">
        <v>832</v>
      </c>
      <c r="AP262" s="20" t="s">
        <v>853</v>
      </c>
      <c r="AQ262" s="13" t="s">
        <v>859</v>
      </c>
      <c r="AS262" s="19">
        <f t="shared" si="57"/>
        <v>0</v>
      </c>
      <c r="AT262" s="19">
        <f t="shared" si="58"/>
        <v>0</v>
      </c>
      <c r="AU262" s="19">
        <v>0</v>
      </c>
      <c r="AV262" s="19">
        <f t="shared" si="59"/>
        <v>0.0002</v>
      </c>
    </row>
    <row r="263" spans="1:48" ht="12.75">
      <c r="A263" s="129" t="s">
        <v>114</v>
      </c>
      <c r="B263" s="129" t="s">
        <v>197</v>
      </c>
      <c r="C263" s="129" t="s">
        <v>311</v>
      </c>
      <c r="D263" s="129" t="s">
        <v>627</v>
      </c>
      <c r="E263" s="129" t="s">
        <v>777</v>
      </c>
      <c r="F263" s="130">
        <v>1</v>
      </c>
      <c r="G263" s="130">
        <v>0</v>
      </c>
      <c r="H263" s="130">
        <f t="shared" si="40"/>
        <v>0</v>
      </c>
      <c r="I263" s="130">
        <f t="shared" si="41"/>
        <v>0</v>
      </c>
      <c r="J263" s="130">
        <f t="shared" si="42"/>
        <v>0</v>
      </c>
      <c r="K263" s="130">
        <v>0.00028</v>
      </c>
      <c r="L263" s="130">
        <f t="shared" si="43"/>
        <v>0.00028</v>
      </c>
      <c r="M263" s="131" t="s">
        <v>803</v>
      </c>
      <c r="P263" s="19">
        <f t="shared" si="44"/>
        <v>0</v>
      </c>
      <c r="R263" s="19">
        <f t="shared" si="45"/>
        <v>0</v>
      </c>
      <c r="S263" s="19">
        <f t="shared" si="46"/>
        <v>0</v>
      </c>
      <c r="T263" s="19">
        <f t="shared" si="47"/>
        <v>0</v>
      </c>
      <c r="U263" s="19">
        <f t="shared" si="48"/>
        <v>0</v>
      </c>
      <c r="V263" s="19">
        <f t="shared" si="49"/>
        <v>0</v>
      </c>
      <c r="W263" s="19">
        <f t="shared" si="50"/>
        <v>0</v>
      </c>
      <c r="X263" s="19">
        <f t="shared" si="51"/>
        <v>0</v>
      </c>
      <c r="Y263" s="13" t="s">
        <v>197</v>
      </c>
      <c r="Z263" s="10">
        <f t="shared" si="52"/>
        <v>0</v>
      </c>
      <c r="AA263" s="10">
        <f t="shared" si="53"/>
        <v>0</v>
      </c>
      <c r="AB263" s="10">
        <f t="shared" si="54"/>
        <v>0</v>
      </c>
      <c r="AD263" s="19">
        <v>21</v>
      </c>
      <c r="AE263" s="19">
        <f>G263*0.81636036036036</f>
        <v>0</v>
      </c>
      <c r="AF263" s="19">
        <f>G263*(1-0.81636036036036)</f>
        <v>0</v>
      </c>
      <c r="AG263" s="15" t="s">
        <v>13</v>
      </c>
      <c r="AM263" s="19">
        <f t="shared" si="55"/>
        <v>0</v>
      </c>
      <c r="AN263" s="19">
        <f t="shared" si="56"/>
        <v>0</v>
      </c>
      <c r="AO263" s="20" t="s">
        <v>832</v>
      </c>
      <c r="AP263" s="20" t="s">
        <v>853</v>
      </c>
      <c r="AQ263" s="13" t="s">
        <v>859</v>
      </c>
      <c r="AS263" s="19">
        <f t="shared" si="57"/>
        <v>0</v>
      </c>
      <c r="AT263" s="19">
        <f t="shared" si="58"/>
        <v>0</v>
      </c>
      <c r="AU263" s="19">
        <v>0</v>
      </c>
      <c r="AV263" s="19">
        <f t="shared" si="59"/>
        <v>0.00028</v>
      </c>
    </row>
    <row r="264" spans="1:48" ht="12.75">
      <c r="A264" s="129" t="s">
        <v>115</v>
      </c>
      <c r="B264" s="129" t="s">
        <v>197</v>
      </c>
      <c r="C264" s="129" t="s">
        <v>312</v>
      </c>
      <c r="D264" s="129" t="s">
        <v>628</v>
      </c>
      <c r="E264" s="129" t="s">
        <v>780</v>
      </c>
      <c r="F264" s="130">
        <v>1</v>
      </c>
      <c r="G264" s="130">
        <v>0</v>
      </c>
      <c r="H264" s="130">
        <f t="shared" si="40"/>
        <v>0</v>
      </c>
      <c r="I264" s="130">
        <f t="shared" si="41"/>
        <v>0</v>
      </c>
      <c r="J264" s="130">
        <f t="shared" si="42"/>
        <v>0</v>
      </c>
      <c r="K264" s="130">
        <v>0.00062</v>
      </c>
      <c r="L264" s="130">
        <f t="shared" si="43"/>
        <v>0.00062</v>
      </c>
      <c r="M264" s="131" t="s">
        <v>803</v>
      </c>
      <c r="P264" s="19">
        <f t="shared" si="44"/>
        <v>0</v>
      </c>
      <c r="R264" s="19">
        <f t="shared" si="45"/>
        <v>0</v>
      </c>
      <c r="S264" s="19">
        <f t="shared" si="46"/>
        <v>0</v>
      </c>
      <c r="T264" s="19">
        <f t="shared" si="47"/>
        <v>0</v>
      </c>
      <c r="U264" s="19">
        <f t="shared" si="48"/>
        <v>0</v>
      </c>
      <c r="V264" s="19">
        <f t="shared" si="49"/>
        <v>0</v>
      </c>
      <c r="W264" s="19">
        <f t="shared" si="50"/>
        <v>0</v>
      </c>
      <c r="X264" s="19">
        <f t="shared" si="51"/>
        <v>0</v>
      </c>
      <c r="Y264" s="13" t="s">
        <v>197</v>
      </c>
      <c r="Z264" s="10">
        <f t="shared" si="52"/>
        <v>0</v>
      </c>
      <c r="AA264" s="10">
        <f t="shared" si="53"/>
        <v>0</v>
      </c>
      <c r="AB264" s="10">
        <f t="shared" si="54"/>
        <v>0</v>
      </c>
      <c r="AD264" s="19">
        <v>21</v>
      </c>
      <c r="AE264" s="19">
        <f>G264*0.296019607843137</f>
        <v>0</v>
      </c>
      <c r="AF264" s="19">
        <f>G264*(1-0.296019607843137)</f>
        <v>0</v>
      </c>
      <c r="AG264" s="15" t="s">
        <v>13</v>
      </c>
      <c r="AM264" s="19">
        <f t="shared" si="55"/>
        <v>0</v>
      </c>
      <c r="AN264" s="19">
        <f t="shared" si="56"/>
        <v>0</v>
      </c>
      <c r="AO264" s="20" t="s">
        <v>832</v>
      </c>
      <c r="AP264" s="20" t="s">
        <v>853</v>
      </c>
      <c r="AQ264" s="13" t="s">
        <v>859</v>
      </c>
      <c r="AS264" s="19">
        <f t="shared" si="57"/>
        <v>0</v>
      </c>
      <c r="AT264" s="19">
        <f t="shared" si="58"/>
        <v>0</v>
      </c>
      <c r="AU264" s="19">
        <v>0</v>
      </c>
      <c r="AV264" s="19">
        <f t="shared" si="59"/>
        <v>0.00062</v>
      </c>
    </row>
    <row r="265" spans="1:48" ht="12.75">
      <c r="A265" s="129" t="s">
        <v>116</v>
      </c>
      <c r="B265" s="129" t="s">
        <v>197</v>
      </c>
      <c r="C265" s="129" t="s">
        <v>313</v>
      </c>
      <c r="D265" s="129" t="s">
        <v>629</v>
      </c>
      <c r="E265" s="129" t="s">
        <v>777</v>
      </c>
      <c r="F265" s="130">
        <v>1</v>
      </c>
      <c r="G265" s="130">
        <v>0</v>
      </c>
      <c r="H265" s="130">
        <f t="shared" si="40"/>
        <v>0</v>
      </c>
      <c r="I265" s="130">
        <f t="shared" si="41"/>
        <v>0</v>
      </c>
      <c r="J265" s="130">
        <f t="shared" si="42"/>
        <v>0</v>
      </c>
      <c r="K265" s="130">
        <v>0.0005</v>
      </c>
      <c r="L265" s="130">
        <f t="shared" si="43"/>
        <v>0.0005</v>
      </c>
      <c r="M265" s="131" t="s">
        <v>803</v>
      </c>
      <c r="P265" s="19">
        <f t="shared" si="44"/>
        <v>0</v>
      </c>
      <c r="R265" s="19">
        <f t="shared" si="45"/>
        <v>0</v>
      </c>
      <c r="S265" s="19">
        <f t="shared" si="46"/>
        <v>0</v>
      </c>
      <c r="T265" s="19">
        <f t="shared" si="47"/>
        <v>0</v>
      </c>
      <c r="U265" s="19">
        <f t="shared" si="48"/>
        <v>0</v>
      </c>
      <c r="V265" s="19">
        <f t="shared" si="49"/>
        <v>0</v>
      </c>
      <c r="W265" s="19">
        <f t="shared" si="50"/>
        <v>0</v>
      </c>
      <c r="X265" s="19">
        <f t="shared" si="51"/>
        <v>0</v>
      </c>
      <c r="Y265" s="13" t="s">
        <v>197</v>
      </c>
      <c r="Z265" s="10">
        <f t="shared" si="52"/>
        <v>0</v>
      </c>
      <c r="AA265" s="10">
        <f t="shared" si="53"/>
        <v>0</v>
      </c>
      <c r="AB265" s="10">
        <f t="shared" si="54"/>
        <v>0</v>
      </c>
      <c r="AD265" s="19">
        <v>21</v>
      </c>
      <c r="AE265" s="19">
        <f>G265*0.882967818831943</f>
        <v>0</v>
      </c>
      <c r="AF265" s="19">
        <f>G265*(1-0.882967818831943)</f>
        <v>0</v>
      </c>
      <c r="AG265" s="15" t="s">
        <v>13</v>
      </c>
      <c r="AM265" s="19">
        <f t="shared" si="55"/>
        <v>0</v>
      </c>
      <c r="AN265" s="19">
        <f t="shared" si="56"/>
        <v>0</v>
      </c>
      <c r="AO265" s="20" t="s">
        <v>832</v>
      </c>
      <c r="AP265" s="20" t="s">
        <v>853</v>
      </c>
      <c r="AQ265" s="13" t="s">
        <v>859</v>
      </c>
      <c r="AS265" s="19">
        <f t="shared" si="57"/>
        <v>0</v>
      </c>
      <c r="AT265" s="19">
        <f t="shared" si="58"/>
        <v>0</v>
      </c>
      <c r="AU265" s="19">
        <v>0</v>
      </c>
      <c r="AV265" s="19">
        <f t="shared" si="59"/>
        <v>0.0005</v>
      </c>
    </row>
    <row r="266" spans="1:48" ht="12.75">
      <c r="A266" s="129" t="s">
        <v>117</v>
      </c>
      <c r="B266" s="129" t="s">
        <v>197</v>
      </c>
      <c r="C266" s="129" t="s">
        <v>314</v>
      </c>
      <c r="D266" s="129" t="s">
        <v>630</v>
      </c>
      <c r="E266" s="129" t="s">
        <v>780</v>
      </c>
      <c r="F266" s="130">
        <v>1</v>
      </c>
      <c r="G266" s="130">
        <v>0</v>
      </c>
      <c r="H266" s="130">
        <f t="shared" si="40"/>
        <v>0</v>
      </c>
      <c r="I266" s="130">
        <f t="shared" si="41"/>
        <v>0</v>
      </c>
      <c r="J266" s="130">
        <f t="shared" si="42"/>
        <v>0</v>
      </c>
      <c r="K266" s="130">
        <v>0.00045</v>
      </c>
      <c r="L266" s="130">
        <f t="shared" si="43"/>
        <v>0.00045</v>
      </c>
      <c r="M266" s="131" t="s">
        <v>803</v>
      </c>
      <c r="P266" s="19">
        <f t="shared" si="44"/>
        <v>0</v>
      </c>
      <c r="R266" s="19">
        <f t="shared" si="45"/>
        <v>0</v>
      </c>
      <c r="S266" s="19">
        <f t="shared" si="46"/>
        <v>0</v>
      </c>
      <c r="T266" s="19">
        <f t="shared" si="47"/>
        <v>0</v>
      </c>
      <c r="U266" s="19">
        <f t="shared" si="48"/>
        <v>0</v>
      </c>
      <c r="V266" s="19">
        <f t="shared" si="49"/>
        <v>0</v>
      </c>
      <c r="W266" s="19">
        <f t="shared" si="50"/>
        <v>0</v>
      </c>
      <c r="X266" s="19">
        <f t="shared" si="51"/>
        <v>0</v>
      </c>
      <c r="Y266" s="13" t="s">
        <v>197</v>
      </c>
      <c r="Z266" s="10">
        <f t="shared" si="52"/>
        <v>0</v>
      </c>
      <c r="AA266" s="10">
        <f t="shared" si="53"/>
        <v>0</v>
      </c>
      <c r="AB266" s="10">
        <f t="shared" si="54"/>
        <v>0</v>
      </c>
      <c r="AD266" s="19">
        <v>21</v>
      </c>
      <c r="AE266" s="19">
        <f>G266*0.0558223234624146</f>
        <v>0</v>
      </c>
      <c r="AF266" s="19">
        <f>G266*(1-0.0558223234624146)</f>
        <v>0</v>
      </c>
      <c r="AG266" s="15" t="s">
        <v>13</v>
      </c>
      <c r="AM266" s="19">
        <f t="shared" si="55"/>
        <v>0</v>
      </c>
      <c r="AN266" s="19">
        <f t="shared" si="56"/>
        <v>0</v>
      </c>
      <c r="AO266" s="20" t="s">
        <v>832</v>
      </c>
      <c r="AP266" s="20" t="s">
        <v>853</v>
      </c>
      <c r="AQ266" s="13" t="s">
        <v>859</v>
      </c>
      <c r="AS266" s="19">
        <f t="shared" si="57"/>
        <v>0</v>
      </c>
      <c r="AT266" s="19">
        <f t="shared" si="58"/>
        <v>0</v>
      </c>
      <c r="AU266" s="19">
        <v>0</v>
      </c>
      <c r="AV266" s="19">
        <f t="shared" si="59"/>
        <v>0.00045</v>
      </c>
    </row>
    <row r="267" spans="1:48" ht="12.75">
      <c r="A267" s="135" t="s">
        <v>118</v>
      </c>
      <c r="B267" s="135" t="s">
        <v>197</v>
      </c>
      <c r="C267" s="135" t="s">
        <v>315</v>
      </c>
      <c r="D267" s="135" t="s">
        <v>631</v>
      </c>
      <c r="E267" s="135" t="s">
        <v>777</v>
      </c>
      <c r="F267" s="136">
        <v>1</v>
      </c>
      <c r="G267" s="136">
        <v>0</v>
      </c>
      <c r="H267" s="136">
        <f t="shared" si="40"/>
        <v>0</v>
      </c>
      <c r="I267" s="136">
        <f t="shared" si="41"/>
        <v>0</v>
      </c>
      <c r="J267" s="136">
        <f t="shared" si="42"/>
        <v>0</v>
      </c>
      <c r="K267" s="136">
        <v>0.037</v>
      </c>
      <c r="L267" s="136">
        <f t="shared" si="43"/>
        <v>0.037</v>
      </c>
      <c r="M267" s="137" t="s">
        <v>803</v>
      </c>
      <c r="P267" s="19">
        <f t="shared" si="44"/>
        <v>0</v>
      </c>
      <c r="R267" s="19">
        <f t="shared" si="45"/>
        <v>0</v>
      </c>
      <c r="S267" s="19">
        <f t="shared" si="46"/>
        <v>0</v>
      </c>
      <c r="T267" s="19">
        <f t="shared" si="47"/>
        <v>0</v>
      </c>
      <c r="U267" s="19">
        <f t="shared" si="48"/>
        <v>0</v>
      </c>
      <c r="V267" s="19">
        <f t="shared" si="49"/>
        <v>0</v>
      </c>
      <c r="W267" s="19">
        <f t="shared" si="50"/>
        <v>0</v>
      </c>
      <c r="X267" s="19">
        <f t="shared" si="51"/>
        <v>0</v>
      </c>
      <c r="Y267" s="13" t="s">
        <v>197</v>
      </c>
      <c r="Z267" s="11">
        <f t="shared" si="52"/>
        <v>0</v>
      </c>
      <c r="AA267" s="11">
        <f t="shared" si="53"/>
        <v>0</v>
      </c>
      <c r="AB267" s="11">
        <f t="shared" si="54"/>
        <v>0</v>
      </c>
      <c r="AD267" s="19">
        <v>21</v>
      </c>
      <c r="AE267" s="19">
        <f>G267*1</f>
        <v>0</v>
      </c>
      <c r="AF267" s="19">
        <f>G267*(1-1)</f>
        <v>0</v>
      </c>
      <c r="AG267" s="16" t="s">
        <v>13</v>
      </c>
      <c r="AM267" s="19">
        <f t="shared" si="55"/>
        <v>0</v>
      </c>
      <c r="AN267" s="19">
        <f t="shared" si="56"/>
        <v>0</v>
      </c>
      <c r="AO267" s="20" t="s">
        <v>832</v>
      </c>
      <c r="AP267" s="20" t="s">
        <v>853</v>
      </c>
      <c r="AQ267" s="13" t="s">
        <v>859</v>
      </c>
      <c r="AS267" s="19">
        <f t="shared" si="57"/>
        <v>0</v>
      </c>
      <c r="AT267" s="19">
        <f t="shared" si="58"/>
        <v>0</v>
      </c>
      <c r="AU267" s="19">
        <v>0</v>
      </c>
      <c r="AV267" s="19">
        <f t="shared" si="59"/>
        <v>0.037</v>
      </c>
    </row>
    <row r="268" spans="1:48" ht="12.75">
      <c r="A268" s="129" t="s">
        <v>119</v>
      </c>
      <c r="B268" s="129" t="s">
        <v>197</v>
      </c>
      <c r="C268" s="129" t="s">
        <v>316</v>
      </c>
      <c r="D268" s="129" t="s">
        <v>632</v>
      </c>
      <c r="E268" s="129" t="s">
        <v>780</v>
      </c>
      <c r="F268" s="130">
        <v>1</v>
      </c>
      <c r="G268" s="130">
        <v>0</v>
      </c>
      <c r="H268" s="130">
        <f t="shared" si="40"/>
        <v>0</v>
      </c>
      <c r="I268" s="130">
        <f t="shared" si="41"/>
        <v>0</v>
      </c>
      <c r="J268" s="130">
        <f t="shared" si="42"/>
        <v>0</v>
      </c>
      <c r="K268" s="130">
        <v>0.10182</v>
      </c>
      <c r="L268" s="130">
        <f t="shared" si="43"/>
        <v>0.10182</v>
      </c>
      <c r="M268" s="131" t="s">
        <v>803</v>
      </c>
      <c r="P268" s="19">
        <f t="shared" si="44"/>
        <v>0</v>
      </c>
      <c r="R268" s="19">
        <f t="shared" si="45"/>
        <v>0</v>
      </c>
      <c r="S268" s="19">
        <f t="shared" si="46"/>
        <v>0</v>
      </c>
      <c r="T268" s="19">
        <f t="shared" si="47"/>
        <v>0</v>
      </c>
      <c r="U268" s="19">
        <f t="shared" si="48"/>
        <v>0</v>
      </c>
      <c r="V268" s="19">
        <f t="shared" si="49"/>
        <v>0</v>
      </c>
      <c r="W268" s="19">
        <f t="shared" si="50"/>
        <v>0</v>
      </c>
      <c r="X268" s="19">
        <f t="shared" si="51"/>
        <v>0</v>
      </c>
      <c r="Y268" s="13" t="s">
        <v>197</v>
      </c>
      <c r="Z268" s="10">
        <f t="shared" si="52"/>
        <v>0</v>
      </c>
      <c r="AA268" s="10">
        <f t="shared" si="53"/>
        <v>0</v>
      </c>
      <c r="AB268" s="10">
        <f t="shared" si="54"/>
        <v>0</v>
      </c>
      <c r="AD268" s="19">
        <v>21</v>
      </c>
      <c r="AE268" s="19">
        <f>G268*0.904608796296296</f>
        <v>0</v>
      </c>
      <c r="AF268" s="19">
        <f>G268*(1-0.904608796296296)</f>
        <v>0</v>
      </c>
      <c r="AG268" s="15" t="s">
        <v>13</v>
      </c>
      <c r="AM268" s="19">
        <f t="shared" si="55"/>
        <v>0</v>
      </c>
      <c r="AN268" s="19">
        <f t="shared" si="56"/>
        <v>0</v>
      </c>
      <c r="AO268" s="20" t="s">
        <v>832</v>
      </c>
      <c r="AP268" s="20" t="s">
        <v>853</v>
      </c>
      <c r="AQ268" s="13" t="s">
        <v>859</v>
      </c>
      <c r="AS268" s="19">
        <f t="shared" si="57"/>
        <v>0</v>
      </c>
      <c r="AT268" s="19">
        <f t="shared" si="58"/>
        <v>0</v>
      </c>
      <c r="AU268" s="19">
        <v>0</v>
      </c>
      <c r="AV268" s="19">
        <f t="shared" si="59"/>
        <v>0.10182</v>
      </c>
    </row>
    <row r="269" spans="1:48" ht="12.75">
      <c r="A269" s="129" t="s">
        <v>120</v>
      </c>
      <c r="B269" s="129" t="s">
        <v>197</v>
      </c>
      <c r="C269" s="129" t="s">
        <v>317</v>
      </c>
      <c r="D269" s="129" t="s">
        <v>633</v>
      </c>
      <c r="E269" s="129" t="s">
        <v>780</v>
      </c>
      <c r="F269" s="130">
        <v>1</v>
      </c>
      <c r="G269" s="130">
        <v>0</v>
      </c>
      <c r="H269" s="130">
        <f t="shared" si="40"/>
        <v>0</v>
      </c>
      <c r="I269" s="130">
        <f t="shared" si="41"/>
        <v>0</v>
      </c>
      <c r="J269" s="130">
        <f t="shared" si="42"/>
        <v>0</v>
      </c>
      <c r="K269" s="130">
        <v>0.02882</v>
      </c>
      <c r="L269" s="130">
        <f t="shared" si="43"/>
        <v>0.02882</v>
      </c>
      <c r="M269" s="131" t="s">
        <v>803</v>
      </c>
      <c r="P269" s="19">
        <f t="shared" si="44"/>
        <v>0</v>
      </c>
      <c r="R269" s="19">
        <f t="shared" si="45"/>
        <v>0</v>
      </c>
      <c r="S269" s="19">
        <f t="shared" si="46"/>
        <v>0</v>
      </c>
      <c r="T269" s="19">
        <f t="shared" si="47"/>
        <v>0</v>
      </c>
      <c r="U269" s="19">
        <f t="shared" si="48"/>
        <v>0</v>
      </c>
      <c r="V269" s="19">
        <f t="shared" si="49"/>
        <v>0</v>
      </c>
      <c r="W269" s="19">
        <f t="shared" si="50"/>
        <v>0</v>
      </c>
      <c r="X269" s="19">
        <f t="shared" si="51"/>
        <v>0</v>
      </c>
      <c r="Y269" s="13" t="s">
        <v>197</v>
      </c>
      <c r="Z269" s="10">
        <f t="shared" si="52"/>
        <v>0</v>
      </c>
      <c r="AA269" s="10">
        <f t="shared" si="53"/>
        <v>0</v>
      </c>
      <c r="AB269" s="10">
        <f t="shared" si="54"/>
        <v>0</v>
      </c>
      <c r="AD269" s="19">
        <v>21</v>
      </c>
      <c r="AE269" s="19">
        <f>G269*0.428974595842956</f>
        <v>0</v>
      </c>
      <c r="AF269" s="19">
        <f>G269*(1-0.428974595842956)</f>
        <v>0</v>
      </c>
      <c r="AG269" s="15" t="s">
        <v>13</v>
      </c>
      <c r="AM269" s="19">
        <f t="shared" si="55"/>
        <v>0</v>
      </c>
      <c r="AN269" s="19">
        <f t="shared" si="56"/>
        <v>0</v>
      </c>
      <c r="AO269" s="20" t="s">
        <v>832</v>
      </c>
      <c r="AP269" s="20" t="s">
        <v>853</v>
      </c>
      <c r="AQ269" s="13" t="s">
        <v>859</v>
      </c>
      <c r="AS269" s="19">
        <f t="shared" si="57"/>
        <v>0</v>
      </c>
      <c r="AT269" s="19">
        <f t="shared" si="58"/>
        <v>0</v>
      </c>
      <c r="AU269" s="19">
        <v>0</v>
      </c>
      <c r="AV269" s="19">
        <f t="shared" si="59"/>
        <v>0.02882</v>
      </c>
    </row>
    <row r="270" spans="1:48" ht="12.75">
      <c r="A270" s="129" t="s">
        <v>121</v>
      </c>
      <c r="B270" s="129" t="s">
        <v>197</v>
      </c>
      <c r="C270" s="129" t="s">
        <v>318</v>
      </c>
      <c r="D270" s="129" t="s">
        <v>634</v>
      </c>
      <c r="E270" s="129" t="s">
        <v>783</v>
      </c>
      <c r="F270" s="130">
        <v>532.61</v>
      </c>
      <c r="G270" s="130">
        <v>0</v>
      </c>
      <c r="H270" s="130">
        <f t="shared" si="40"/>
        <v>0</v>
      </c>
      <c r="I270" s="130">
        <f t="shared" si="41"/>
        <v>0</v>
      </c>
      <c r="J270" s="130">
        <f t="shared" si="42"/>
        <v>0</v>
      </c>
      <c r="K270" s="130">
        <v>0</v>
      </c>
      <c r="L270" s="130">
        <f t="shared" si="43"/>
        <v>0</v>
      </c>
      <c r="M270" s="131" t="s">
        <v>803</v>
      </c>
      <c r="P270" s="19">
        <f t="shared" si="44"/>
        <v>0</v>
      </c>
      <c r="R270" s="19">
        <f t="shared" si="45"/>
        <v>0</v>
      </c>
      <c r="S270" s="19">
        <f t="shared" si="46"/>
        <v>0</v>
      </c>
      <c r="T270" s="19">
        <f t="shared" si="47"/>
        <v>0</v>
      </c>
      <c r="U270" s="19">
        <f t="shared" si="48"/>
        <v>0</v>
      </c>
      <c r="V270" s="19">
        <f t="shared" si="49"/>
        <v>0</v>
      </c>
      <c r="W270" s="19">
        <f t="shared" si="50"/>
        <v>0</v>
      </c>
      <c r="X270" s="19">
        <f t="shared" si="51"/>
        <v>0</v>
      </c>
      <c r="Y270" s="13" t="s">
        <v>197</v>
      </c>
      <c r="Z270" s="10">
        <f t="shared" si="52"/>
        <v>0</v>
      </c>
      <c r="AA270" s="10">
        <f t="shared" si="53"/>
        <v>0</v>
      </c>
      <c r="AB270" s="10">
        <f t="shared" si="54"/>
        <v>0</v>
      </c>
      <c r="AD270" s="19">
        <v>21</v>
      </c>
      <c r="AE270" s="19">
        <f>G270*0</f>
        <v>0</v>
      </c>
      <c r="AF270" s="19">
        <f>G270*(1-0)</f>
        <v>0</v>
      </c>
      <c r="AG270" s="15" t="s">
        <v>11</v>
      </c>
      <c r="AM270" s="19">
        <f t="shared" si="55"/>
        <v>0</v>
      </c>
      <c r="AN270" s="19">
        <f t="shared" si="56"/>
        <v>0</v>
      </c>
      <c r="AO270" s="20" t="s">
        <v>832</v>
      </c>
      <c r="AP270" s="20" t="s">
        <v>853</v>
      </c>
      <c r="AQ270" s="13" t="s">
        <v>859</v>
      </c>
      <c r="AS270" s="19">
        <f t="shared" si="57"/>
        <v>0</v>
      </c>
      <c r="AT270" s="19">
        <f t="shared" si="58"/>
        <v>0</v>
      </c>
      <c r="AU270" s="19">
        <v>0</v>
      </c>
      <c r="AV270" s="19">
        <f t="shared" si="59"/>
        <v>0</v>
      </c>
    </row>
    <row r="271" spans="1:37" ht="12.75">
      <c r="A271" s="125"/>
      <c r="B271" s="126" t="s">
        <v>197</v>
      </c>
      <c r="C271" s="126" t="s">
        <v>319</v>
      </c>
      <c r="D271" s="126" t="s">
        <v>635</v>
      </c>
      <c r="E271" s="125" t="s">
        <v>6</v>
      </c>
      <c r="F271" s="125" t="s">
        <v>6</v>
      </c>
      <c r="G271" s="125" t="s">
        <v>6</v>
      </c>
      <c r="H271" s="127">
        <f>SUM(H272:H273)</f>
        <v>0</v>
      </c>
      <c r="I271" s="127">
        <f>SUM(I272:I273)</f>
        <v>0</v>
      </c>
      <c r="J271" s="127">
        <f>H271+I271</f>
        <v>0</v>
      </c>
      <c r="K271" s="128"/>
      <c r="L271" s="127">
        <f>SUM(L272:L273)</f>
        <v>0.013</v>
      </c>
      <c r="M271" s="128"/>
      <c r="Y271" s="13" t="s">
        <v>197</v>
      </c>
      <c r="AI271" s="22">
        <f>SUM(Z272:Z273)</f>
        <v>0</v>
      </c>
      <c r="AJ271" s="22">
        <f>SUM(AA272:AA273)</f>
        <v>0</v>
      </c>
      <c r="AK271" s="22">
        <f>SUM(AB272:AB273)</f>
        <v>0</v>
      </c>
    </row>
    <row r="272" spans="1:48" ht="12.75">
      <c r="A272" s="129" t="s">
        <v>122</v>
      </c>
      <c r="B272" s="129" t="s">
        <v>197</v>
      </c>
      <c r="C272" s="129" t="s">
        <v>320</v>
      </c>
      <c r="D272" s="129" t="s">
        <v>636</v>
      </c>
      <c r="E272" s="129" t="s">
        <v>780</v>
      </c>
      <c r="F272" s="130">
        <v>1</v>
      </c>
      <c r="G272" s="130">
        <v>0</v>
      </c>
      <c r="H272" s="130">
        <f>F272*AE272</f>
        <v>0</v>
      </c>
      <c r="I272" s="130">
        <f>J272-H272</f>
        <v>0</v>
      </c>
      <c r="J272" s="130">
        <f>F272*G272</f>
        <v>0</v>
      </c>
      <c r="K272" s="130">
        <v>0.013</v>
      </c>
      <c r="L272" s="130">
        <f>F272*K272</f>
        <v>0.013</v>
      </c>
      <c r="M272" s="131" t="s">
        <v>803</v>
      </c>
      <c r="P272" s="19">
        <f>IF(AG272="5",J272,0)</f>
        <v>0</v>
      </c>
      <c r="R272" s="19">
        <f>IF(AG272="1",H272,0)</f>
        <v>0</v>
      </c>
      <c r="S272" s="19">
        <f>IF(AG272="1",I272,0)</f>
        <v>0</v>
      </c>
      <c r="T272" s="19">
        <f>IF(AG272="7",H272,0)</f>
        <v>0</v>
      </c>
      <c r="U272" s="19">
        <f>IF(AG272="7",I272,0)</f>
        <v>0</v>
      </c>
      <c r="V272" s="19">
        <f>IF(AG272="2",H272,0)</f>
        <v>0</v>
      </c>
      <c r="W272" s="19">
        <f>IF(AG272="2",I272,0)</f>
        <v>0</v>
      </c>
      <c r="X272" s="19">
        <f>IF(AG272="0",J272,0)</f>
        <v>0</v>
      </c>
      <c r="Y272" s="13" t="s">
        <v>197</v>
      </c>
      <c r="Z272" s="10">
        <f>IF(AD272=0,J272,0)</f>
        <v>0</v>
      </c>
      <c r="AA272" s="10">
        <f>IF(AD272=15,J272,0)</f>
        <v>0</v>
      </c>
      <c r="AB272" s="10">
        <f>IF(AD272=21,J272,0)</f>
        <v>0</v>
      </c>
      <c r="AD272" s="19">
        <v>21</v>
      </c>
      <c r="AE272" s="19">
        <f>G272*0.812680459770115</f>
        <v>0</v>
      </c>
      <c r="AF272" s="19">
        <f>G272*(1-0.812680459770115)</f>
        <v>0</v>
      </c>
      <c r="AG272" s="15" t="s">
        <v>13</v>
      </c>
      <c r="AM272" s="19">
        <f>F272*AE272</f>
        <v>0</v>
      </c>
      <c r="AN272" s="19">
        <f>F272*AF272</f>
        <v>0</v>
      </c>
      <c r="AO272" s="20" t="s">
        <v>833</v>
      </c>
      <c r="AP272" s="20" t="s">
        <v>853</v>
      </c>
      <c r="AQ272" s="13" t="s">
        <v>859</v>
      </c>
      <c r="AS272" s="19">
        <f>AM272+AN272</f>
        <v>0</v>
      </c>
      <c r="AT272" s="19">
        <f>G272/(100-AU272)*100</f>
        <v>0</v>
      </c>
      <c r="AU272" s="19">
        <v>0</v>
      </c>
      <c r="AV272" s="19">
        <f>L272</f>
        <v>0.013</v>
      </c>
    </row>
    <row r="273" spans="1:48" ht="12.75">
      <c r="A273" s="129" t="s">
        <v>123</v>
      </c>
      <c r="B273" s="129" t="s">
        <v>197</v>
      </c>
      <c r="C273" s="129" t="s">
        <v>321</v>
      </c>
      <c r="D273" s="129" t="s">
        <v>637</v>
      </c>
      <c r="E273" s="129" t="s">
        <v>781</v>
      </c>
      <c r="F273" s="130">
        <v>1</v>
      </c>
      <c r="G273" s="130">
        <v>0</v>
      </c>
      <c r="H273" s="130">
        <f>F273*AE273</f>
        <v>0</v>
      </c>
      <c r="I273" s="130">
        <f>J273-H273</f>
        <v>0</v>
      </c>
      <c r="J273" s="130">
        <f>F273*G273</f>
        <v>0</v>
      </c>
      <c r="K273" s="130">
        <v>0</v>
      </c>
      <c r="L273" s="130">
        <f>F273*K273</f>
        <v>0</v>
      </c>
      <c r="M273" s="131" t="s">
        <v>803</v>
      </c>
      <c r="P273" s="19">
        <f>IF(AG273="5",J273,0)</f>
        <v>0</v>
      </c>
      <c r="R273" s="19">
        <f>IF(AG273="1",H273,0)</f>
        <v>0</v>
      </c>
      <c r="S273" s="19">
        <f>IF(AG273="1",I273,0)</f>
        <v>0</v>
      </c>
      <c r="T273" s="19">
        <f>IF(AG273="7",H273,0)</f>
        <v>0</v>
      </c>
      <c r="U273" s="19">
        <f>IF(AG273="7",I273,0)</f>
        <v>0</v>
      </c>
      <c r="V273" s="19">
        <f>IF(AG273="2",H273,0)</f>
        <v>0</v>
      </c>
      <c r="W273" s="19">
        <f>IF(AG273="2",I273,0)</f>
        <v>0</v>
      </c>
      <c r="X273" s="19">
        <f>IF(AG273="0",J273,0)</f>
        <v>0</v>
      </c>
      <c r="Y273" s="13" t="s">
        <v>197</v>
      </c>
      <c r="Z273" s="10">
        <f>IF(AD273=0,J273,0)</f>
        <v>0</v>
      </c>
      <c r="AA273" s="10">
        <f>IF(AD273=15,J273,0)</f>
        <v>0</v>
      </c>
      <c r="AB273" s="10">
        <f>IF(AD273=21,J273,0)</f>
        <v>0</v>
      </c>
      <c r="AD273" s="19">
        <v>21</v>
      </c>
      <c r="AE273" s="19">
        <f>G273*0</f>
        <v>0</v>
      </c>
      <c r="AF273" s="19">
        <f>G273*(1-0)</f>
        <v>0</v>
      </c>
      <c r="AG273" s="15" t="s">
        <v>13</v>
      </c>
      <c r="AM273" s="19">
        <f>F273*AE273</f>
        <v>0</v>
      </c>
      <c r="AN273" s="19">
        <f>F273*AF273</f>
        <v>0</v>
      </c>
      <c r="AO273" s="20" t="s">
        <v>833</v>
      </c>
      <c r="AP273" s="20" t="s">
        <v>853</v>
      </c>
      <c r="AQ273" s="13" t="s">
        <v>859</v>
      </c>
      <c r="AS273" s="19">
        <f>AM273+AN273</f>
        <v>0</v>
      </c>
      <c r="AT273" s="19">
        <f>G273/(100-AU273)*100</f>
        <v>0</v>
      </c>
      <c r="AU273" s="19">
        <v>0</v>
      </c>
      <c r="AV273" s="19">
        <f>L273</f>
        <v>0</v>
      </c>
    </row>
    <row r="274" spans="1:37" ht="12.75">
      <c r="A274" s="125"/>
      <c r="B274" s="126" t="s">
        <v>197</v>
      </c>
      <c r="C274" s="126" t="s">
        <v>322</v>
      </c>
      <c r="D274" s="126" t="s">
        <v>638</v>
      </c>
      <c r="E274" s="125" t="s">
        <v>6</v>
      </c>
      <c r="F274" s="125" t="s">
        <v>6</v>
      </c>
      <c r="G274" s="125" t="s">
        <v>6</v>
      </c>
      <c r="H274" s="127">
        <f>SUM(H275:H282)</f>
        <v>0</v>
      </c>
      <c r="I274" s="127">
        <f>SUM(I275:I282)</f>
        <v>0</v>
      </c>
      <c r="J274" s="127">
        <f>H274+I274</f>
        <v>0</v>
      </c>
      <c r="K274" s="128"/>
      <c r="L274" s="127">
        <f>SUM(L275:L282)</f>
        <v>0.01759</v>
      </c>
      <c r="M274" s="128"/>
      <c r="Y274" s="13" t="s">
        <v>197</v>
      </c>
      <c r="AI274" s="22">
        <f>SUM(Z275:Z282)</f>
        <v>0</v>
      </c>
      <c r="AJ274" s="22">
        <f>SUM(AA275:AA282)</f>
        <v>0</v>
      </c>
      <c r="AK274" s="22">
        <f>SUM(AB275:AB282)</f>
        <v>0</v>
      </c>
    </row>
    <row r="275" spans="1:48" ht="12.75">
      <c r="A275" s="129" t="s">
        <v>124</v>
      </c>
      <c r="B275" s="129" t="s">
        <v>197</v>
      </c>
      <c r="C275" s="129" t="s">
        <v>323</v>
      </c>
      <c r="D275" s="129" t="s">
        <v>639</v>
      </c>
      <c r="E275" s="129" t="s">
        <v>779</v>
      </c>
      <c r="F275" s="130">
        <v>3.4</v>
      </c>
      <c r="G275" s="130">
        <v>0</v>
      </c>
      <c r="H275" s="130">
        <f>F275*AE275</f>
        <v>0</v>
      </c>
      <c r="I275" s="130">
        <f>J275-H275</f>
        <v>0</v>
      </c>
      <c r="J275" s="130">
        <f>F275*G275</f>
        <v>0</v>
      </c>
      <c r="K275" s="130">
        <v>0</v>
      </c>
      <c r="L275" s="130">
        <f>F275*K275</f>
        <v>0</v>
      </c>
      <c r="M275" s="131" t="s">
        <v>803</v>
      </c>
      <c r="P275" s="19">
        <f>IF(AG275="5",J275,0)</f>
        <v>0</v>
      </c>
      <c r="R275" s="19">
        <f>IF(AG275="1",H275,0)</f>
        <v>0</v>
      </c>
      <c r="S275" s="19">
        <f>IF(AG275="1",I275,0)</f>
        <v>0</v>
      </c>
      <c r="T275" s="19">
        <f>IF(AG275="7",H275,0)</f>
        <v>0</v>
      </c>
      <c r="U275" s="19">
        <f>IF(AG275="7",I275,0)</f>
        <v>0</v>
      </c>
      <c r="V275" s="19">
        <f>IF(AG275="2",H275,0)</f>
        <v>0</v>
      </c>
      <c r="W275" s="19">
        <f>IF(AG275="2",I275,0)</f>
        <v>0</v>
      </c>
      <c r="X275" s="19">
        <f>IF(AG275="0",J275,0)</f>
        <v>0</v>
      </c>
      <c r="Y275" s="13" t="s">
        <v>197</v>
      </c>
      <c r="Z275" s="10">
        <f>IF(AD275=0,J275,0)</f>
        <v>0</v>
      </c>
      <c r="AA275" s="10">
        <f>IF(AD275=15,J275,0)</f>
        <v>0</v>
      </c>
      <c r="AB275" s="10">
        <f>IF(AD275=21,J275,0)</f>
        <v>0</v>
      </c>
      <c r="AD275" s="19">
        <v>21</v>
      </c>
      <c r="AE275" s="19">
        <f>G275*0</f>
        <v>0</v>
      </c>
      <c r="AF275" s="19">
        <f>G275*(1-0)</f>
        <v>0</v>
      </c>
      <c r="AG275" s="15" t="s">
        <v>13</v>
      </c>
      <c r="AM275" s="19">
        <f>F275*AE275</f>
        <v>0</v>
      </c>
      <c r="AN275" s="19">
        <f>F275*AF275</f>
        <v>0</v>
      </c>
      <c r="AO275" s="20" t="s">
        <v>834</v>
      </c>
      <c r="AP275" s="20" t="s">
        <v>853</v>
      </c>
      <c r="AQ275" s="13" t="s">
        <v>859</v>
      </c>
      <c r="AS275" s="19">
        <f>AM275+AN275</f>
        <v>0</v>
      </c>
      <c r="AT275" s="19">
        <f>G275/(100-AU275)*100</f>
        <v>0</v>
      </c>
      <c r="AU275" s="19">
        <v>0</v>
      </c>
      <c r="AV275" s="19">
        <f>L275</f>
        <v>0</v>
      </c>
    </row>
    <row r="276" spans="1:13" ht="12.75">
      <c r="A276" s="132"/>
      <c r="B276" s="132"/>
      <c r="C276" s="132"/>
      <c r="D276" s="133" t="s">
        <v>640</v>
      </c>
      <c r="E276" s="132"/>
      <c r="F276" s="134">
        <v>3.4</v>
      </c>
      <c r="G276" s="132"/>
      <c r="H276" s="132"/>
      <c r="I276" s="132"/>
      <c r="J276" s="132"/>
      <c r="K276" s="132"/>
      <c r="L276" s="132"/>
      <c r="M276" s="132"/>
    </row>
    <row r="277" spans="1:48" ht="12.75">
      <c r="A277" s="135" t="s">
        <v>125</v>
      </c>
      <c r="B277" s="135" t="s">
        <v>197</v>
      </c>
      <c r="C277" s="135" t="s">
        <v>324</v>
      </c>
      <c r="D277" s="135" t="s">
        <v>641</v>
      </c>
      <c r="E277" s="135" t="s">
        <v>779</v>
      </c>
      <c r="F277" s="136">
        <v>4</v>
      </c>
      <c r="G277" s="136">
        <v>0</v>
      </c>
      <c r="H277" s="136">
        <f>F277*AE277</f>
        <v>0</v>
      </c>
      <c r="I277" s="136">
        <f>J277-H277</f>
        <v>0</v>
      </c>
      <c r="J277" s="136">
        <f>F277*G277</f>
        <v>0</v>
      </c>
      <c r="K277" s="136">
        <v>0.00256</v>
      </c>
      <c r="L277" s="136">
        <f>F277*K277</f>
        <v>0.01024</v>
      </c>
      <c r="M277" s="137" t="s">
        <v>803</v>
      </c>
      <c r="P277" s="19">
        <f>IF(AG277="5",J277,0)</f>
        <v>0</v>
      </c>
      <c r="R277" s="19">
        <f>IF(AG277="1",H277,0)</f>
        <v>0</v>
      </c>
      <c r="S277" s="19">
        <f>IF(AG277="1",I277,0)</f>
        <v>0</v>
      </c>
      <c r="T277" s="19">
        <f>IF(AG277="7",H277,0)</f>
        <v>0</v>
      </c>
      <c r="U277" s="19">
        <f>IF(AG277="7",I277,0)</f>
        <v>0</v>
      </c>
      <c r="V277" s="19">
        <f>IF(AG277="2",H277,0)</f>
        <v>0</v>
      </c>
      <c r="W277" s="19">
        <f>IF(AG277="2",I277,0)</f>
        <v>0</v>
      </c>
      <c r="X277" s="19">
        <f>IF(AG277="0",J277,0)</f>
        <v>0</v>
      </c>
      <c r="Y277" s="13" t="s">
        <v>197</v>
      </c>
      <c r="Z277" s="11">
        <f>IF(AD277=0,J277,0)</f>
        <v>0</v>
      </c>
      <c r="AA277" s="11">
        <f>IF(AD277=15,J277,0)</f>
        <v>0</v>
      </c>
      <c r="AB277" s="11">
        <f>IF(AD277=21,J277,0)</f>
        <v>0</v>
      </c>
      <c r="AD277" s="19">
        <v>21</v>
      </c>
      <c r="AE277" s="19">
        <f>G277*1</f>
        <v>0</v>
      </c>
      <c r="AF277" s="19">
        <f>G277*(1-1)</f>
        <v>0</v>
      </c>
      <c r="AG277" s="16" t="s">
        <v>13</v>
      </c>
      <c r="AM277" s="19">
        <f>F277*AE277</f>
        <v>0</v>
      </c>
      <c r="AN277" s="19">
        <f>F277*AF277</f>
        <v>0</v>
      </c>
      <c r="AO277" s="20" t="s">
        <v>834</v>
      </c>
      <c r="AP277" s="20" t="s">
        <v>853</v>
      </c>
      <c r="AQ277" s="13" t="s">
        <v>859</v>
      </c>
      <c r="AS277" s="19">
        <f>AM277+AN277</f>
        <v>0</v>
      </c>
      <c r="AT277" s="19">
        <f>G277/(100-AU277)*100</f>
        <v>0</v>
      </c>
      <c r="AU277" s="19">
        <v>0</v>
      </c>
      <c r="AV277" s="19">
        <f>L277</f>
        <v>0.01024</v>
      </c>
    </row>
    <row r="278" spans="1:13" ht="12.75">
      <c r="A278" s="132"/>
      <c r="B278" s="132"/>
      <c r="C278" s="132"/>
      <c r="D278" s="133" t="s">
        <v>10</v>
      </c>
      <c r="E278" s="132"/>
      <c r="F278" s="134">
        <v>4</v>
      </c>
      <c r="G278" s="132"/>
      <c r="H278" s="132"/>
      <c r="I278" s="132"/>
      <c r="J278" s="132"/>
      <c r="K278" s="132"/>
      <c r="L278" s="132"/>
      <c r="M278" s="132"/>
    </row>
    <row r="279" spans="1:48" ht="12.75">
      <c r="A279" s="129" t="s">
        <v>126</v>
      </c>
      <c r="B279" s="129" t="s">
        <v>197</v>
      </c>
      <c r="C279" s="129" t="s">
        <v>325</v>
      </c>
      <c r="D279" s="129" t="s">
        <v>642</v>
      </c>
      <c r="E279" s="129" t="s">
        <v>782</v>
      </c>
      <c r="F279" s="130">
        <v>1</v>
      </c>
      <c r="G279" s="130">
        <v>0</v>
      </c>
      <c r="H279" s="130">
        <f>F279*AE279</f>
        <v>0</v>
      </c>
      <c r="I279" s="130">
        <f>J279-H279</f>
        <v>0</v>
      </c>
      <c r="J279" s="130">
        <f>F279*G279</f>
        <v>0</v>
      </c>
      <c r="K279" s="130">
        <v>0</v>
      </c>
      <c r="L279" s="130">
        <f>F279*K279</f>
        <v>0</v>
      </c>
      <c r="M279" s="131" t="s">
        <v>803</v>
      </c>
      <c r="P279" s="19">
        <f>IF(AG279="5",J279,0)</f>
        <v>0</v>
      </c>
      <c r="R279" s="19">
        <f>IF(AG279="1",H279,0)</f>
        <v>0</v>
      </c>
      <c r="S279" s="19">
        <f>IF(AG279="1",I279,0)</f>
        <v>0</v>
      </c>
      <c r="T279" s="19">
        <f>IF(AG279="7",H279,0)</f>
        <v>0</v>
      </c>
      <c r="U279" s="19">
        <f>IF(AG279="7",I279,0)</f>
        <v>0</v>
      </c>
      <c r="V279" s="19">
        <f>IF(AG279="2",H279,0)</f>
        <v>0</v>
      </c>
      <c r="W279" s="19">
        <f>IF(AG279="2",I279,0)</f>
        <v>0</v>
      </c>
      <c r="X279" s="19">
        <f>IF(AG279="0",J279,0)</f>
        <v>0</v>
      </c>
      <c r="Y279" s="13" t="s">
        <v>197</v>
      </c>
      <c r="Z279" s="10">
        <f>IF(AD279=0,J279,0)</f>
        <v>0</v>
      </c>
      <c r="AA279" s="10">
        <f>IF(AD279=15,J279,0)</f>
        <v>0</v>
      </c>
      <c r="AB279" s="10">
        <f>IF(AD279=21,J279,0)</f>
        <v>0</v>
      </c>
      <c r="AD279" s="19">
        <v>21</v>
      </c>
      <c r="AE279" s="19">
        <f>G279*0</f>
        <v>0</v>
      </c>
      <c r="AF279" s="19">
        <f>G279*(1-0)</f>
        <v>0</v>
      </c>
      <c r="AG279" s="15" t="s">
        <v>13</v>
      </c>
      <c r="AM279" s="19">
        <f>F279*AE279</f>
        <v>0</v>
      </c>
      <c r="AN279" s="19">
        <f>F279*AF279</f>
        <v>0</v>
      </c>
      <c r="AO279" s="20" t="s">
        <v>834</v>
      </c>
      <c r="AP279" s="20" t="s">
        <v>853</v>
      </c>
      <c r="AQ279" s="13" t="s">
        <v>859</v>
      </c>
      <c r="AS279" s="19">
        <f>AM279+AN279</f>
        <v>0</v>
      </c>
      <c r="AT279" s="19">
        <f>G279/(100-AU279)*100</f>
        <v>0</v>
      </c>
      <c r="AU279" s="19">
        <v>0</v>
      </c>
      <c r="AV279" s="19">
        <f>L279</f>
        <v>0</v>
      </c>
    </row>
    <row r="280" spans="1:48" ht="12.75">
      <c r="A280" s="135" t="s">
        <v>127</v>
      </c>
      <c r="B280" s="135" t="s">
        <v>197</v>
      </c>
      <c r="C280" s="135" t="s">
        <v>326</v>
      </c>
      <c r="D280" s="135" t="s">
        <v>643</v>
      </c>
      <c r="E280" s="135" t="s">
        <v>777</v>
      </c>
      <c r="F280" s="136">
        <v>3</v>
      </c>
      <c r="G280" s="136">
        <v>0</v>
      </c>
      <c r="H280" s="136">
        <f>F280*AE280</f>
        <v>0</v>
      </c>
      <c r="I280" s="136">
        <f>J280-H280</f>
        <v>0</v>
      </c>
      <c r="J280" s="136">
        <f>F280*G280</f>
        <v>0</v>
      </c>
      <c r="K280" s="136">
        <v>0.0016</v>
      </c>
      <c r="L280" s="136">
        <f>F280*K280</f>
        <v>0.0048000000000000004</v>
      </c>
      <c r="M280" s="137" t="s">
        <v>803</v>
      </c>
      <c r="P280" s="19">
        <f>IF(AG280="5",J280,0)</f>
        <v>0</v>
      </c>
      <c r="R280" s="19">
        <f>IF(AG280="1",H280,0)</f>
        <v>0</v>
      </c>
      <c r="S280" s="19">
        <f>IF(AG280="1",I280,0)</f>
        <v>0</v>
      </c>
      <c r="T280" s="19">
        <f>IF(AG280="7",H280,0)</f>
        <v>0</v>
      </c>
      <c r="U280" s="19">
        <f>IF(AG280="7",I280,0)</f>
        <v>0</v>
      </c>
      <c r="V280" s="19">
        <f>IF(AG280="2",H280,0)</f>
        <v>0</v>
      </c>
      <c r="W280" s="19">
        <f>IF(AG280="2",I280,0)</f>
        <v>0</v>
      </c>
      <c r="X280" s="19">
        <f>IF(AG280="0",J280,0)</f>
        <v>0</v>
      </c>
      <c r="Y280" s="13" t="s">
        <v>197</v>
      </c>
      <c r="Z280" s="11">
        <f>IF(AD280=0,J280,0)</f>
        <v>0</v>
      </c>
      <c r="AA280" s="11">
        <f>IF(AD280=15,J280,0)</f>
        <v>0</v>
      </c>
      <c r="AB280" s="11">
        <f>IF(AD280=21,J280,0)</f>
        <v>0</v>
      </c>
      <c r="AD280" s="19">
        <v>21</v>
      </c>
      <c r="AE280" s="19">
        <f>G280*1</f>
        <v>0</v>
      </c>
      <c r="AF280" s="19">
        <f>G280*(1-1)</f>
        <v>0</v>
      </c>
      <c r="AG280" s="16" t="s">
        <v>13</v>
      </c>
      <c r="AM280" s="19">
        <f>F280*AE280</f>
        <v>0</v>
      </c>
      <c r="AN280" s="19">
        <f>F280*AF280</f>
        <v>0</v>
      </c>
      <c r="AO280" s="20" t="s">
        <v>834</v>
      </c>
      <c r="AP280" s="20" t="s">
        <v>853</v>
      </c>
      <c r="AQ280" s="13" t="s">
        <v>859</v>
      </c>
      <c r="AS280" s="19">
        <f>AM280+AN280</f>
        <v>0</v>
      </c>
      <c r="AT280" s="19">
        <f>G280/(100-AU280)*100</f>
        <v>0</v>
      </c>
      <c r="AU280" s="19">
        <v>0</v>
      </c>
      <c r="AV280" s="19">
        <f>L280</f>
        <v>0.0048000000000000004</v>
      </c>
    </row>
    <row r="281" spans="1:48" ht="12.75">
      <c r="A281" s="135" t="s">
        <v>128</v>
      </c>
      <c r="B281" s="135" t="s">
        <v>197</v>
      </c>
      <c r="C281" s="135" t="s">
        <v>327</v>
      </c>
      <c r="D281" s="135" t="s">
        <v>644</v>
      </c>
      <c r="E281" s="135" t="s">
        <v>777</v>
      </c>
      <c r="F281" s="136">
        <v>1</v>
      </c>
      <c r="G281" s="136">
        <v>0</v>
      </c>
      <c r="H281" s="136">
        <f>F281*AE281</f>
        <v>0</v>
      </c>
      <c r="I281" s="136">
        <f>J281-H281</f>
        <v>0</v>
      </c>
      <c r="J281" s="136">
        <f>F281*G281</f>
        <v>0</v>
      </c>
      <c r="K281" s="136">
        <v>0.0019</v>
      </c>
      <c r="L281" s="136">
        <f>F281*K281</f>
        <v>0.0019</v>
      </c>
      <c r="M281" s="137" t="s">
        <v>803</v>
      </c>
      <c r="P281" s="19">
        <f>IF(AG281="5",J281,0)</f>
        <v>0</v>
      </c>
      <c r="R281" s="19">
        <f>IF(AG281="1",H281,0)</f>
        <v>0</v>
      </c>
      <c r="S281" s="19">
        <f>IF(AG281="1",I281,0)</f>
        <v>0</v>
      </c>
      <c r="T281" s="19">
        <f>IF(AG281="7",H281,0)</f>
        <v>0</v>
      </c>
      <c r="U281" s="19">
        <f>IF(AG281="7",I281,0)</f>
        <v>0</v>
      </c>
      <c r="V281" s="19">
        <f>IF(AG281="2",H281,0)</f>
        <v>0</v>
      </c>
      <c r="W281" s="19">
        <f>IF(AG281="2",I281,0)</f>
        <v>0</v>
      </c>
      <c r="X281" s="19">
        <f>IF(AG281="0",J281,0)</f>
        <v>0</v>
      </c>
      <c r="Y281" s="13" t="s">
        <v>197</v>
      </c>
      <c r="Z281" s="11">
        <f>IF(AD281=0,J281,0)</f>
        <v>0</v>
      </c>
      <c r="AA281" s="11">
        <f>IF(AD281=15,J281,0)</f>
        <v>0</v>
      </c>
      <c r="AB281" s="11">
        <f>IF(AD281=21,J281,0)</f>
        <v>0</v>
      </c>
      <c r="AD281" s="19">
        <v>21</v>
      </c>
      <c r="AE281" s="19">
        <f>G281*1</f>
        <v>0</v>
      </c>
      <c r="AF281" s="19">
        <f>G281*(1-1)</f>
        <v>0</v>
      </c>
      <c r="AG281" s="16" t="s">
        <v>13</v>
      </c>
      <c r="AM281" s="19">
        <f>F281*AE281</f>
        <v>0</v>
      </c>
      <c r="AN281" s="19">
        <f>F281*AF281</f>
        <v>0</v>
      </c>
      <c r="AO281" s="20" t="s">
        <v>834</v>
      </c>
      <c r="AP281" s="20" t="s">
        <v>853</v>
      </c>
      <c r="AQ281" s="13" t="s">
        <v>859</v>
      </c>
      <c r="AS281" s="19">
        <f>AM281+AN281</f>
        <v>0</v>
      </c>
      <c r="AT281" s="19">
        <f>G281/(100-AU281)*100</f>
        <v>0</v>
      </c>
      <c r="AU281" s="19">
        <v>0</v>
      </c>
      <c r="AV281" s="19">
        <f>L281</f>
        <v>0.0019</v>
      </c>
    </row>
    <row r="282" spans="1:48" ht="12.75">
      <c r="A282" s="135" t="s">
        <v>129</v>
      </c>
      <c r="B282" s="135" t="s">
        <v>197</v>
      </c>
      <c r="C282" s="135" t="s">
        <v>328</v>
      </c>
      <c r="D282" s="135" t="s">
        <v>645</v>
      </c>
      <c r="E282" s="135" t="s">
        <v>777</v>
      </c>
      <c r="F282" s="136">
        <v>1</v>
      </c>
      <c r="G282" s="136">
        <v>0</v>
      </c>
      <c r="H282" s="136">
        <f>F282*AE282</f>
        <v>0</v>
      </c>
      <c r="I282" s="136">
        <f>J282-H282</f>
        <v>0</v>
      </c>
      <c r="J282" s="136">
        <f>F282*G282</f>
        <v>0</v>
      </c>
      <c r="K282" s="136">
        <v>0.00065</v>
      </c>
      <c r="L282" s="136">
        <f>F282*K282</f>
        <v>0.00065</v>
      </c>
      <c r="M282" s="137" t="s">
        <v>803</v>
      </c>
      <c r="P282" s="19">
        <f>IF(AG282="5",J282,0)</f>
        <v>0</v>
      </c>
      <c r="R282" s="19">
        <f>IF(AG282="1",H282,0)</f>
        <v>0</v>
      </c>
      <c r="S282" s="19">
        <f>IF(AG282="1",I282,0)</f>
        <v>0</v>
      </c>
      <c r="T282" s="19">
        <f>IF(AG282="7",H282,0)</f>
        <v>0</v>
      </c>
      <c r="U282" s="19">
        <f>IF(AG282="7",I282,0)</f>
        <v>0</v>
      </c>
      <c r="V282" s="19">
        <f>IF(AG282="2",H282,0)</f>
        <v>0</v>
      </c>
      <c r="W282" s="19">
        <f>IF(AG282="2",I282,0)</f>
        <v>0</v>
      </c>
      <c r="X282" s="19">
        <f>IF(AG282="0",J282,0)</f>
        <v>0</v>
      </c>
      <c r="Y282" s="13" t="s">
        <v>197</v>
      </c>
      <c r="Z282" s="11">
        <f>IF(AD282=0,J282,0)</f>
        <v>0</v>
      </c>
      <c r="AA282" s="11">
        <f>IF(AD282=15,J282,0)</f>
        <v>0</v>
      </c>
      <c r="AB282" s="11">
        <f>IF(AD282=21,J282,0)</f>
        <v>0</v>
      </c>
      <c r="AD282" s="19">
        <v>21</v>
      </c>
      <c r="AE282" s="19">
        <f>G282*1</f>
        <v>0</v>
      </c>
      <c r="AF282" s="19">
        <f>G282*(1-1)</f>
        <v>0</v>
      </c>
      <c r="AG282" s="16" t="s">
        <v>13</v>
      </c>
      <c r="AM282" s="19">
        <f>F282*AE282</f>
        <v>0</v>
      </c>
      <c r="AN282" s="19">
        <f>F282*AF282</f>
        <v>0</v>
      </c>
      <c r="AO282" s="20" t="s">
        <v>834</v>
      </c>
      <c r="AP282" s="20" t="s">
        <v>853</v>
      </c>
      <c r="AQ282" s="13" t="s">
        <v>859</v>
      </c>
      <c r="AS282" s="19">
        <f>AM282+AN282</f>
        <v>0</v>
      </c>
      <c r="AT282" s="19">
        <f>G282/(100-AU282)*100</f>
        <v>0</v>
      </c>
      <c r="AU282" s="19">
        <v>0</v>
      </c>
      <c r="AV282" s="19">
        <f>L282</f>
        <v>0.00065</v>
      </c>
    </row>
    <row r="283" spans="1:37" ht="12.75">
      <c r="A283" s="125"/>
      <c r="B283" s="126" t="s">
        <v>197</v>
      </c>
      <c r="C283" s="126" t="s">
        <v>329</v>
      </c>
      <c r="D283" s="126" t="s">
        <v>646</v>
      </c>
      <c r="E283" s="125" t="s">
        <v>6</v>
      </c>
      <c r="F283" s="125" t="s">
        <v>6</v>
      </c>
      <c r="G283" s="125" t="s">
        <v>6</v>
      </c>
      <c r="H283" s="127">
        <f>SUM(H284:H284)</f>
        <v>0</v>
      </c>
      <c r="I283" s="127">
        <f>SUM(I284:I284)</f>
        <v>0</v>
      </c>
      <c r="J283" s="127">
        <f>H283+I283</f>
        <v>0</v>
      </c>
      <c r="K283" s="128"/>
      <c r="L283" s="127">
        <f>SUM(L284:L284)</f>
        <v>0.00046</v>
      </c>
      <c r="M283" s="128"/>
      <c r="Y283" s="13" t="s">
        <v>197</v>
      </c>
      <c r="AI283" s="22">
        <f>SUM(Z284:Z284)</f>
        <v>0</v>
      </c>
      <c r="AJ283" s="22">
        <f>SUM(AA284:AA284)</f>
        <v>0</v>
      </c>
      <c r="AK283" s="22">
        <f>SUM(AB284:AB284)</f>
        <v>0</v>
      </c>
    </row>
    <row r="284" spans="1:48" ht="12.75">
      <c r="A284" s="129" t="s">
        <v>130</v>
      </c>
      <c r="B284" s="129" t="s">
        <v>197</v>
      </c>
      <c r="C284" s="129" t="s">
        <v>330</v>
      </c>
      <c r="D284" s="129" t="s">
        <v>647</v>
      </c>
      <c r="E284" s="129" t="s">
        <v>777</v>
      </c>
      <c r="F284" s="130">
        <v>1</v>
      </c>
      <c r="G284" s="130">
        <v>0</v>
      </c>
      <c r="H284" s="130">
        <f>F284*AE284</f>
        <v>0</v>
      </c>
      <c r="I284" s="130">
        <f>J284-H284</f>
        <v>0</v>
      </c>
      <c r="J284" s="130">
        <f>F284*G284</f>
        <v>0</v>
      </c>
      <c r="K284" s="130">
        <v>0.00046</v>
      </c>
      <c r="L284" s="130">
        <f>F284*K284</f>
        <v>0.00046</v>
      </c>
      <c r="M284" s="131" t="s">
        <v>803</v>
      </c>
      <c r="P284" s="19">
        <f>IF(AG284="5",J284,0)</f>
        <v>0</v>
      </c>
      <c r="R284" s="19">
        <f>IF(AG284="1",H284,0)</f>
        <v>0</v>
      </c>
      <c r="S284" s="19">
        <f>IF(AG284="1",I284,0)</f>
        <v>0</v>
      </c>
      <c r="T284" s="19">
        <f>IF(AG284="7",H284,0)</f>
        <v>0</v>
      </c>
      <c r="U284" s="19">
        <f>IF(AG284="7",I284,0)</f>
        <v>0</v>
      </c>
      <c r="V284" s="19">
        <f>IF(AG284="2",H284,0)</f>
        <v>0</v>
      </c>
      <c r="W284" s="19">
        <f>IF(AG284="2",I284,0)</f>
        <v>0</v>
      </c>
      <c r="X284" s="19">
        <f>IF(AG284="0",J284,0)</f>
        <v>0</v>
      </c>
      <c r="Y284" s="13" t="s">
        <v>197</v>
      </c>
      <c r="Z284" s="10">
        <f>IF(AD284=0,J284,0)</f>
        <v>0</v>
      </c>
      <c r="AA284" s="10">
        <f>IF(AD284=15,J284,0)</f>
        <v>0</v>
      </c>
      <c r="AB284" s="10">
        <f>IF(AD284=21,J284,0)</f>
        <v>0</v>
      </c>
      <c r="AD284" s="19">
        <v>21</v>
      </c>
      <c r="AE284" s="19">
        <f>G284*0.760076530612245</f>
        <v>0</v>
      </c>
      <c r="AF284" s="19">
        <f>G284*(1-0.760076530612245)</f>
        <v>0</v>
      </c>
      <c r="AG284" s="15" t="s">
        <v>13</v>
      </c>
      <c r="AM284" s="19">
        <f>F284*AE284</f>
        <v>0</v>
      </c>
      <c r="AN284" s="19">
        <f>F284*AF284</f>
        <v>0</v>
      </c>
      <c r="AO284" s="20" t="s">
        <v>835</v>
      </c>
      <c r="AP284" s="20" t="s">
        <v>854</v>
      </c>
      <c r="AQ284" s="13" t="s">
        <v>859</v>
      </c>
      <c r="AS284" s="19">
        <f>AM284+AN284</f>
        <v>0</v>
      </c>
      <c r="AT284" s="19">
        <f>G284/(100-AU284)*100</f>
        <v>0</v>
      </c>
      <c r="AU284" s="19">
        <v>0</v>
      </c>
      <c r="AV284" s="19">
        <f>L284</f>
        <v>0.00046</v>
      </c>
    </row>
    <row r="285" spans="1:37" ht="12.75">
      <c r="A285" s="125"/>
      <c r="B285" s="126" t="s">
        <v>197</v>
      </c>
      <c r="C285" s="126" t="s">
        <v>331</v>
      </c>
      <c r="D285" s="126" t="s">
        <v>648</v>
      </c>
      <c r="E285" s="125" t="s">
        <v>6</v>
      </c>
      <c r="F285" s="125" t="s">
        <v>6</v>
      </c>
      <c r="G285" s="125" t="s">
        <v>6</v>
      </c>
      <c r="H285" s="127">
        <f>SUM(H286:H309)</f>
        <v>0</v>
      </c>
      <c r="I285" s="127">
        <f>SUM(I286:I309)</f>
        <v>0</v>
      </c>
      <c r="J285" s="127">
        <f>H285+I285</f>
        <v>0</v>
      </c>
      <c r="K285" s="128"/>
      <c r="L285" s="127">
        <f>SUM(L286:L309)</f>
        <v>2.760086700000001</v>
      </c>
      <c r="M285" s="128"/>
      <c r="Y285" s="13" t="s">
        <v>197</v>
      </c>
      <c r="AI285" s="22">
        <f>SUM(Z286:Z309)</f>
        <v>0</v>
      </c>
      <c r="AJ285" s="22">
        <f>SUM(AA286:AA309)</f>
        <v>0</v>
      </c>
      <c r="AK285" s="22">
        <f>SUM(AB286:AB309)</f>
        <v>0</v>
      </c>
    </row>
    <row r="286" spans="1:48" ht="12.75">
      <c r="A286" s="129" t="s">
        <v>131</v>
      </c>
      <c r="B286" s="129" t="s">
        <v>197</v>
      </c>
      <c r="C286" s="129" t="s">
        <v>332</v>
      </c>
      <c r="D286" s="129" t="s">
        <v>649</v>
      </c>
      <c r="E286" s="129" t="s">
        <v>779</v>
      </c>
      <c r="F286" s="130">
        <v>17</v>
      </c>
      <c r="G286" s="130">
        <v>0</v>
      </c>
      <c r="H286" s="130">
        <f>F286*AE286</f>
        <v>0</v>
      </c>
      <c r="I286" s="130">
        <f>J286-H286</f>
        <v>0</v>
      </c>
      <c r="J286" s="130">
        <f>F286*G286</f>
        <v>0</v>
      </c>
      <c r="K286" s="130">
        <v>0.01115</v>
      </c>
      <c r="L286" s="130">
        <f>F286*K286</f>
        <v>0.18955</v>
      </c>
      <c r="M286" s="131" t="s">
        <v>803</v>
      </c>
      <c r="P286" s="19">
        <f>IF(AG286="5",J286,0)</f>
        <v>0</v>
      </c>
      <c r="R286" s="19">
        <f>IF(AG286="1",H286,0)</f>
        <v>0</v>
      </c>
      <c r="S286" s="19">
        <f>IF(AG286="1",I286,0)</f>
        <v>0</v>
      </c>
      <c r="T286" s="19">
        <f>IF(AG286="7",H286,0)</f>
        <v>0</v>
      </c>
      <c r="U286" s="19">
        <f>IF(AG286="7",I286,0)</f>
        <v>0</v>
      </c>
      <c r="V286" s="19">
        <f>IF(AG286="2",H286,0)</f>
        <v>0</v>
      </c>
      <c r="W286" s="19">
        <f>IF(AG286="2",I286,0)</f>
        <v>0</v>
      </c>
      <c r="X286" s="19">
        <f>IF(AG286="0",J286,0)</f>
        <v>0</v>
      </c>
      <c r="Y286" s="13" t="s">
        <v>197</v>
      </c>
      <c r="Z286" s="10">
        <f>IF(AD286=0,J286,0)</f>
        <v>0</v>
      </c>
      <c r="AA286" s="10">
        <f>IF(AD286=15,J286,0)</f>
        <v>0</v>
      </c>
      <c r="AB286" s="10">
        <f>IF(AD286=21,J286,0)</f>
        <v>0</v>
      </c>
      <c r="AD286" s="19">
        <v>21</v>
      </c>
      <c r="AE286" s="19">
        <f>G286*0.409937368743844</f>
        <v>0</v>
      </c>
      <c r="AF286" s="19">
        <f>G286*(1-0.409937368743844)</f>
        <v>0</v>
      </c>
      <c r="AG286" s="15" t="s">
        <v>13</v>
      </c>
      <c r="AM286" s="19">
        <f>F286*AE286</f>
        <v>0</v>
      </c>
      <c r="AN286" s="19">
        <f>F286*AF286</f>
        <v>0</v>
      </c>
      <c r="AO286" s="20" t="s">
        <v>836</v>
      </c>
      <c r="AP286" s="20" t="s">
        <v>855</v>
      </c>
      <c r="AQ286" s="13" t="s">
        <v>859</v>
      </c>
      <c r="AS286" s="19">
        <f>AM286+AN286</f>
        <v>0</v>
      </c>
      <c r="AT286" s="19">
        <f>G286/(100-AU286)*100</f>
        <v>0</v>
      </c>
      <c r="AU286" s="19">
        <v>0</v>
      </c>
      <c r="AV286" s="19">
        <f>L286</f>
        <v>0.18955</v>
      </c>
    </row>
    <row r="287" spans="1:13" ht="12.75">
      <c r="A287" s="132"/>
      <c r="B287" s="132"/>
      <c r="C287" s="132"/>
      <c r="D287" s="133" t="s">
        <v>650</v>
      </c>
      <c r="E287" s="132"/>
      <c r="F287" s="134">
        <v>17</v>
      </c>
      <c r="G287" s="132"/>
      <c r="H287" s="132"/>
      <c r="I287" s="132"/>
      <c r="J287" s="132"/>
      <c r="K287" s="132"/>
      <c r="L287" s="132"/>
      <c r="M287" s="132"/>
    </row>
    <row r="288" spans="1:48" ht="12.75">
      <c r="A288" s="129" t="s">
        <v>132</v>
      </c>
      <c r="B288" s="129" t="s">
        <v>197</v>
      </c>
      <c r="C288" s="129" t="s">
        <v>333</v>
      </c>
      <c r="D288" s="129" t="s">
        <v>649</v>
      </c>
      <c r="E288" s="129" t="s">
        <v>779</v>
      </c>
      <c r="F288" s="130">
        <v>84.84</v>
      </c>
      <c r="G288" s="130">
        <v>0</v>
      </c>
      <c r="H288" s="130">
        <f>F288*AE288</f>
        <v>0</v>
      </c>
      <c r="I288" s="130">
        <f>J288-H288</f>
        <v>0</v>
      </c>
      <c r="J288" s="130">
        <f>F288*G288</f>
        <v>0</v>
      </c>
      <c r="K288" s="130">
        <v>0.01454</v>
      </c>
      <c r="L288" s="130">
        <f>F288*K288</f>
        <v>1.2335736000000002</v>
      </c>
      <c r="M288" s="131" t="s">
        <v>803</v>
      </c>
      <c r="P288" s="19">
        <f>IF(AG288="5",J288,0)</f>
        <v>0</v>
      </c>
      <c r="R288" s="19">
        <f>IF(AG288="1",H288,0)</f>
        <v>0</v>
      </c>
      <c r="S288" s="19">
        <f>IF(AG288="1",I288,0)</f>
        <v>0</v>
      </c>
      <c r="T288" s="19">
        <f>IF(AG288="7",H288,0)</f>
        <v>0</v>
      </c>
      <c r="U288" s="19">
        <f>IF(AG288="7",I288,0)</f>
        <v>0</v>
      </c>
      <c r="V288" s="19">
        <f>IF(AG288="2",H288,0)</f>
        <v>0</v>
      </c>
      <c r="W288" s="19">
        <f>IF(AG288="2",I288,0)</f>
        <v>0</v>
      </c>
      <c r="X288" s="19">
        <f>IF(AG288="0",J288,0)</f>
        <v>0</v>
      </c>
      <c r="Y288" s="13" t="s">
        <v>197</v>
      </c>
      <c r="Z288" s="10">
        <f>IF(AD288=0,J288,0)</f>
        <v>0</v>
      </c>
      <c r="AA288" s="10">
        <f>IF(AD288=15,J288,0)</f>
        <v>0</v>
      </c>
      <c r="AB288" s="10">
        <f>IF(AD288=21,J288,0)</f>
        <v>0</v>
      </c>
      <c r="AD288" s="19">
        <v>21</v>
      </c>
      <c r="AE288" s="19">
        <f>G288*0.501987377340818</f>
        <v>0</v>
      </c>
      <c r="AF288" s="19">
        <f>G288*(1-0.501987377340818)</f>
        <v>0</v>
      </c>
      <c r="AG288" s="15" t="s">
        <v>13</v>
      </c>
      <c r="AM288" s="19">
        <f>F288*AE288</f>
        <v>0</v>
      </c>
      <c r="AN288" s="19">
        <f>F288*AF288</f>
        <v>0</v>
      </c>
      <c r="AO288" s="20" t="s">
        <v>836</v>
      </c>
      <c r="AP288" s="20" t="s">
        <v>855</v>
      </c>
      <c r="AQ288" s="13" t="s">
        <v>859</v>
      </c>
      <c r="AS288" s="19">
        <f>AM288+AN288</f>
        <v>0</v>
      </c>
      <c r="AT288" s="19">
        <f>G288/(100-AU288)*100</f>
        <v>0</v>
      </c>
      <c r="AU288" s="19">
        <v>0</v>
      </c>
      <c r="AV288" s="19">
        <f>L288</f>
        <v>1.2335736000000002</v>
      </c>
    </row>
    <row r="289" spans="1:13" ht="12.75">
      <c r="A289" s="132"/>
      <c r="B289" s="132"/>
      <c r="C289" s="132"/>
      <c r="D289" s="133" t="s">
        <v>651</v>
      </c>
      <c r="E289" s="132"/>
      <c r="F289" s="134">
        <v>84.84</v>
      </c>
      <c r="G289" s="132"/>
      <c r="H289" s="132"/>
      <c r="I289" s="132"/>
      <c r="J289" s="132"/>
      <c r="K289" s="132"/>
      <c r="L289" s="132"/>
      <c r="M289" s="132"/>
    </row>
    <row r="290" spans="1:48" ht="12.75">
      <c r="A290" s="129" t="s">
        <v>133</v>
      </c>
      <c r="B290" s="129" t="s">
        <v>197</v>
      </c>
      <c r="C290" s="129" t="s">
        <v>334</v>
      </c>
      <c r="D290" s="129" t="s">
        <v>652</v>
      </c>
      <c r="E290" s="129" t="s">
        <v>779</v>
      </c>
      <c r="F290" s="130">
        <v>13.52</v>
      </c>
      <c r="G290" s="130">
        <v>0</v>
      </c>
      <c r="H290" s="130">
        <f>F290*AE290</f>
        <v>0</v>
      </c>
      <c r="I290" s="130">
        <f>J290-H290</f>
        <v>0</v>
      </c>
      <c r="J290" s="130">
        <f>F290*G290</f>
        <v>0</v>
      </c>
      <c r="K290" s="130">
        <v>0.014</v>
      </c>
      <c r="L290" s="130">
        <f>F290*K290</f>
        <v>0.18928</v>
      </c>
      <c r="M290" s="131" t="s">
        <v>803</v>
      </c>
      <c r="P290" s="19">
        <f>IF(AG290="5",J290,0)</f>
        <v>0</v>
      </c>
      <c r="R290" s="19">
        <f>IF(AG290="1",H290,0)</f>
        <v>0</v>
      </c>
      <c r="S290" s="19">
        <f>IF(AG290="1",I290,0)</f>
        <v>0</v>
      </c>
      <c r="T290" s="19">
        <f>IF(AG290="7",H290,0)</f>
        <v>0</v>
      </c>
      <c r="U290" s="19">
        <f>IF(AG290="7",I290,0)</f>
        <v>0</v>
      </c>
      <c r="V290" s="19">
        <f>IF(AG290="2",H290,0)</f>
        <v>0</v>
      </c>
      <c r="W290" s="19">
        <f>IF(AG290="2",I290,0)</f>
        <v>0</v>
      </c>
      <c r="X290" s="19">
        <f>IF(AG290="0",J290,0)</f>
        <v>0</v>
      </c>
      <c r="Y290" s="13" t="s">
        <v>197</v>
      </c>
      <c r="Z290" s="10">
        <f>IF(AD290=0,J290,0)</f>
        <v>0</v>
      </c>
      <c r="AA290" s="10">
        <f>IF(AD290=15,J290,0)</f>
        <v>0</v>
      </c>
      <c r="AB290" s="10">
        <f>IF(AD290=21,J290,0)</f>
        <v>0</v>
      </c>
      <c r="AD290" s="19">
        <v>21</v>
      </c>
      <c r="AE290" s="19">
        <f>G290*0</f>
        <v>0</v>
      </c>
      <c r="AF290" s="19">
        <f>G290*(1-0)</f>
        <v>0</v>
      </c>
      <c r="AG290" s="15" t="s">
        <v>13</v>
      </c>
      <c r="AM290" s="19">
        <f>F290*AE290</f>
        <v>0</v>
      </c>
      <c r="AN290" s="19">
        <f>F290*AF290</f>
        <v>0</v>
      </c>
      <c r="AO290" s="20" t="s">
        <v>836</v>
      </c>
      <c r="AP290" s="20" t="s">
        <v>855</v>
      </c>
      <c r="AQ290" s="13" t="s">
        <v>859</v>
      </c>
      <c r="AS290" s="19">
        <f>AM290+AN290</f>
        <v>0</v>
      </c>
      <c r="AT290" s="19">
        <f>G290/(100-AU290)*100</f>
        <v>0</v>
      </c>
      <c r="AU290" s="19">
        <v>0</v>
      </c>
      <c r="AV290" s="19">
        <f>L290</f>
        <v>0.18928</v>
      </c>
    </row>
    <row r="291" spans="1:13" ht="12.75">
      <c r="A291" s="132"/>
      <c r="B291" s="132"/>
      <c r="C291" s="132"/>
      <c r="D291" s="133" t="s">
        <v>653</v>
      </c>
      <c r="E291" s="132"/>
      <c r="F291" s="134">
        <v>12.12</v>
      </c>
      <c r="G291" s="132"/>
      <c r="H291" s="132"/>
      <c r="I291" s="132"/>
      <c r="J291" s="132"/>
      <c r="K291" s="132"/>
      <c r="L291" s="132"/>
      <c r="M291" s="132"/>
    </row>
    <row r="292" spans="1:13" ht="12.75">
      <c r="A292" s="132"/>
      <c r="B292" s="132"/>
      <c r="C292" s="132"/>
      <c r="D292" s="133" t="s">
        <v>654</v>
      </c>
      <c r="E292" s="132"/>
      <c r="F292" s="134">
        <v>1.4</v>
      </c>
      <c r="G292" s="132"/>
      <c r="H292" s="132"/>
      <c r="I292" s="132"/>
      <c r="J292" s="132"/>
      <c r="K292" s="132"/>
      <c r="L292" s="132"/>
      <c r="M292" s="132"/>
    </row>
    <row r="293" spans="1:48" ht="12.75">
      <c r="A293" s="129" t="s">
        <v>134</v>
      </c>
      <c r="B293" s="129" t="s">
        <v>197</v>
      </c>
      <c r="C293" s="129" t="s">
        <v>335</v>
      </c>
      <c r="D293" s="129" t="s">
        <v>655</v>
      </c>
      <c r="E293" s="129" t="s">
        <v>776</v>
      </c>
      <c r="F293" s="130">
        <v>51.51</v>
      </c>
      <c r="G293" s="130">
        <v>0</v>
      </c>
      <c r="H293" s="130">
        <f>F293*AE293</f>
        <v>0</v>
      </c>
      <c r="I293" s="130">
        <f>J293-H293</f>
        <v>0</v>
      </c>
      <c r="J293" s="130">
        <f>F293*G293</f>
        <v>0</v>
      </c>
      <c r="K293" s="130">
        <v>0</v>
      </c>
      <c r="L293" s="130">
        <f>F293*K293</f>
        <v>0</v>
      </c>
      <c r="M293" s="131" t="s">
        <v>803</v>
      </c>
      <c r="P293" s="19">
        <f>IF(AG293="5",J293,0)</f>
        <v>0</v>
      </c>
      <c r="R293" s="19">
        <f>IF(AG293="1",H293,0)</f>
        <v>0</v>
      </c>
      <c r="S293" s="19">
        <f>IF(AG293="1",I293,0)</f>
        <v>0</v>
      </c>
      <c r="T293" s="19">
        <f>IF(AG293="7",H293,0)</f>
        <v>0</v>
      </c>
      <c r="U293" s="19">
        <f>IF(AG293="7",I293,0)</f>
        <v>0</v>
      </c>
      <c r="V293" s="19">
        <f>IF(AG293="2",H293,0)</f>
        <v>0</v>
      </c>
      <c r="W293" s="19">
        <f>IF(AG293="2",I293,0)</f>
        <v>0</v>
      </c>
      <c r="X293" s="19">
        <f>IF(AG293="0",J293,0)</f>
        <v>0</v>
      </c>
      <c r="Y293" s="13" t="s">
        <v>197</v>
      </c>
      <c r="Z293" s="10">
        <f>IF(AD293=0,J293,0)</f>
        <v>0</v>
      </c>
      <c r="AA293" s="10">
        <f>IF(AD293=15,J293,0)</f>
        <v>0</v>
      </c>
      <c r="AB293" s="10">
        <f>IF(AD293=21,J293,0)</f>
        <v>0</v>
      </c>
      <c r="AD293" s="19">
        <v>21</v>
      </c>
      <c r="AE293" s="19">
        <f>G293*0</f>
        <v>0</v>
      </c>
      <c r="AF293" s="19">
        <f>G293*(1-0)</f>
        <v>0</v>
      </c>
      <c r="AG293" s="15" t="s">
        <v>13</v>
      </c>
      <c r="AM293" s="19">
        <f>F293*AE293</f>
        <v>0</v>
      </c>
      <c r="AN293" s="19">
        <f>F293*AF293</f>
        <v>0</v>
      </c>
      <c r="AO293" s="20" t="s">
        <v>836</v>
      </c>
      <c r="AP293" s="20" t="s">
        <v>855</v>
      </c>
      <c r="AQ293" s="13" t="s">
        <v>859</v>
      </c>
      <c r="AS293" s="19">
        <f>AM293+AN293</f>
        <v>0</v>
      </c>
      <c r="AT293" s="19">
        <f>G293/(100-AU293)*100</f>
        <v>0</v>
      </c>
      <c r="AU293" s="19">
        <v>0</v>
      </c>
      <c r="AV293" s="19">
        <f>L293</f>
        <v>0</v>
      </c>
    </row>
    <row r="294" spans="1:13" ht="12.75">
      <c r="A294" s="132"/>
      <c r="B294" s="132"/>
      <c r="C294" s="132"/>
      <c r="D294" s="133" t="s">
        <v>656</v>
      </c>
      <c r="E294" s="132"/>
      <c r="F294" s="134">
        <v>51.51</v>
      </c>
      <c r="G294" s="132"/>
      <c r="H294" s="132"/>
      <c r="I294" s="132"/>
      <c r="J294" s="132"/>
      <c r="K294" s="132"/>
      <c r="L294" s="132"/>
      <c r="M294" s="132"/>
    </row>
    <row r="295" spans="1:48" ht="12.75">
      <c r="A295" s="135" t="s">
        <v>135</v>
      </c>
      <c r="B295" s="135" t="s">
        <v>197</v>
      </c>
      <c r="C295" s="135" t="s">
        <v>336</v>
      </c>
      <c r="D295" s="135" t="s">
        <v>657</v>
      </c>
      <c r="E295" s="135" t="s">
        <v>776</v>
      </c>
      <c r="F295" s="136">
        <v>54.09</v>
      </c>
      <c r="G295" s="136">
        <v>0</v>
      </c>
      <c r="H295" s="136">
        <f>F295*AE295</f>
        <v>0</v>
      </c>
      <c r="I295" s="136">
        <f>J295-H295</f>
        <v>0</v>
      </c>
      <c r="J295" s="136">
        <f>F295*G295</f>
        <v>0</v>
      </c>
      <c r="K295" s="136">
        <v>0.0139</v>
      </c>
      <c r="L295" s="136">
        <f>F295*K295</f>
        <v>0.751851</v>
      </c>
      <c r="M295" s="137" t="s">
        <v>803</v>
      </c>
      <c r="P295" s="19">
        <f>IF(AG295="5",J295,0)</f>
        <v>0</v>
      </c>
      <c r="R295" s="19">
        <f>IF(AG295="1",H295,0)</f>
        <v>0</v>
      </c>
      <c r="S295" s="19">
        <f>IF(AG295="1",I295,0)</f>
        <v>0</v>
      </c>
      <c r="T295" s="19">
        <f>IF(AG295="7",H295,0)</f>
        <v>0</v>
      </c>
      <c r="U295" s="19">
        <f>IF(AG295="7",I295,0)</f>
        <v>0</v>
      </c>
      <c r="V295" s="19">
        <f>IF(AG295="2",H295,0)</f>
        <v>0</v>
      </c>
      <c r="W295" s="19">
        <f>IF(AG295="2",I295,0)</f>
        <v>0</v>
      </c>
      <c r="X295" s="19">
        <f>IF(AG295="0",J295,0)</f>
        <v>0</v>
      </c>
      <c r="Y295" s="13" t="s">
        <v>197</v>
      </c>
      <c r="Z295" s="11">
        <f>IF(AD295=0,J295,0)</f>
        <v>0</v>
      </c>
      <c r="AA295" s="11">
        <f>IF(AD295=15,J295,0)</f>
        <v>0</v>
      </c>
      <c r="AB295" s="11">
        <f>IF(AD295=21,J295,0)</f>
        <v>0</v>
      </c>
      <c r="AD295" s="19">
        <v>21</v>
      </c>
      <c r="AE295" s="19">
        <f>G295*1</f>
        <v>0</v>
      </c>
      <c r="AF295" s="19">
        <f>G295*(1-1)</f>
        <v>0</v>
      </c>
      <c r="AG295" s="16" t="s">
        <v>13</v>
      </c>
      <c r="AM295" s="19">
        <f>F295*AE295</f>
        <v>0</v>
      </c>
      <c r="AN295" s="19">
        <f>F295*AF295</f>
        <v>0</v>
      </c>
      <c r="AO295" s="20" t="s">
        <v>836</v>
      </c>
      <c r="AP295" s="20" t="s">
        <v>855</v>
      </c>
      <c r="AQ295" s="13" t="s">
        <v>859</v>
      </c>
      <c r="AS295" s="19">
        <f>AM295+AN295</f>
        <v>0</v>
      </c>
      <c r="AT295" s="19">
        <f>G295/(100-AU295)*100</f>
        <v>0</v>
      </c>
      <c r="AU295" s="19">
        <v>0</v>
      </c>
      <c r="AV295" s="19">
        <f>L295</f>
        <v>0.751851</v>
      </c>
    </row>
    <row r="296" spans="1:13" ht="12.75">
      <c r="A296" s="132"/>
      <c r="B296" s="132"/>
      <c r="C296" s="132"/>
      <c r="D296" s="133" t="s">
        <v>658</v>
      </c>
      <c r="E296" s="132"/>
      <c r="F296" s="134">
        <v>54.09</v>
      </c>
      <c r="G296" s="132"/>
      <c r="H296" s="132"/>
      <c r="I296" s="132"/>
      <c r="J296" s="132"/>
      <c r="K296" s="132"/>
      <c r="L296" s="132"/>
      <c r="M296" s="132"/>
    </row>
    <row r="297" spans="1:48" ht="12.75">
      <c r="A297" s="129" t="s">
        <v>136</v>
      </c>
      <c r="B297" s="129" t="s">
        <v>197</v>
      </c>
      <c r="C297" s="129" t="s">
        <v>337</v>
      </c>
      <c r="D297" s="129" t="s">
        <v>659</v>
      </c>
      <c r="E297" s="129" t="s">
        <v>776</v>
      </c>
      <c r="F297" s="130">
        <v>3.94</v>
      </c>
      <c r="G297" s="130">
        <v>0</v>
      </c>
      <c r="H297" s="130">
        <f>F297*AE297</f>
        <v>0</v>
      </c>
      <c r="I297" s="130">
        <f>J297-H297</f>
        <v>0</v>
      </c>
      <c r="J297" s="130">
        <f>F297*G297</f>
        <v>0</v>
      </c>
      <c r="K297" s="130">
        <v>0.015</v>
      </c>
      <c r="L297" s="130">
        <f>F297*K297</f>
        <v>0.0591</v>
      </c>
      <c r="M297" s="131" t="s">
        <v>803</v>
      </c>
      <c r="P297" s="19">
        <f>IF(AG297="5",J297,0)</f>
        <v>0</v>
      </c>
      <c r="R297" s="19">
        <f>IF(AG297="1",H297,0)</f>
        <v>0</v>
      </c>
      <c r="S297" s="19">
        <f>IF(AG297="1",I297,0)</f>
        <v>0</v>
      </c>
      <c r="T297" s="19">
        <f>IF(AG297="7",H297,0)</f>
        <v>0</v>
      </c>
      <c r="U297" s="19">
        <f>IF(AG297="7",I297,0)</f>
        <v>0</v>
      </c>
      <c r="V297" s="19">
        <f>IF(AG297="2",H297,0)</f>
        <v>0</v>
      </c>
      <c r="W297" s="19">
        <f>IF(AG297="2",I297,0)</f>
        <v>0</v>
      </c>
      <c r="X297" s="19">
        <f>IF(AG297="0",J297,0)</f>
        <v>0</v>
      </c>
      <c r="Y297" s="13" t="s">
        <v>197</v>
      </c>
      <c r="Z297" s="10">
        <f>IF(AD297=0,J297,0)</f>
        <v>0</v>
      </c>
      <c r="AA297" s="10">
        <f>IF(AD297=15,J297,0)</f>
        <v>0</v>
      </c>
      <c r="AB297" s="10">
        <f>IF(AD297=21,J297,0)</f>
        <v>0</v>
      </c>
      <c r="AD297" s="19">
        <v>21</v>
      </c>
      <c r="AE297" s="19">
        <f>G297*0</f>
        <v>0</v>
      </c>
      <c r="AF297" s="19">
        <f>G297*(1-0)</f>
        <v>0</v>
      </c>
      <c r="AG297" s="15" t="s">
        <v>13</v>
      </c>
      <c r="AM297" s="19">
        <f>F297*AE297</f>
        <v>0</v>
      </c>
      <c r="AN297" s="19">
        <f>F297*AF297</f>
        <v>0</v>
      </c>
      <c r="AO297" s="20" t="s">
        <v>836</v>
      </c>
      <c r="AP297" s="20" t="s">
        <v>855</v>
      </c>
      <c r="AQ297" s="13" t="s">
        <v>859</v>
      </c>
      <c r="AS297" s="19">
        <f>AM297+AN297</f>
        <v>0</v>
      </c>
      <c r="AT297" s="19">
        <f>G297/(100-AU297)*100</f>
        <v>0</v>
      </c>
      <c r="AU297" s="19">
        <v>0</v>
      </c>
      <c r="AV297" s="19">
        <f>L297</f>
        <v>0.0591</v>
      </c>
    </row>
    <row r="298" spans="1:13" ht="12.75">
      <c r="A298" s="132"/>
      <c r="B298" s="132"/>
      <c r="C298" s="132"/>
      <c r="D298" s="133" t="s">
        <v>660</v>
      </c>
      <c r="E298" s="132"/>
      <c r="F298" s="134">
        <v>3.94</v>
      </c>
      <c r="G298" s="132"/>
      <c r="H298" s="132"/>
      <c r="I298" s="132"/>
      <c r="J298" s="132"/>
      <c r="K298" s="132"/>
      <c r="L298" s="132"/>
      <c r="M298" s="132"/>
    </row>
    <row r="299" spans="1:48" ht="12.75">
      <c r="A299" s="129" t="s">
        <v>137</v>
      </c>
      <c r="B299" s="129" t="s">
        <v>197</v>
      </c>
      <c r="C299" s="129" t="s">
        <v>338</v>
      </c>
      <c r="D299" s="129" t="s">
        <v>661</v>
      </c>
      <c r="E299" s="129" t="s">
        <v>775</v>
      </c>
      <c r="F299" s="130">
        <v>3.63</v>
      </c>
      <c r="G299" s="130">
        <v>0</v>
      </c>
      <c r="H299" s="130">
        <f>F299*AE299</f>
        <v>0</v>
      </c>
      <c r="I299" s="130">
        <f>J299-H299</f>
        <v>0</v>
      </c>
      <c r="J299" s="130">
        <f>F299*G299</f>
        <v>0</v>
      </c>
      <c r="K299" s="130">
        <v>0.02357</v>
      </c>
      <c r="L299" s="130">
        <f>F299*K299</f>
        <v>0.0855591</v>
      </c>
      <c r="M299" s="131" t="s">
        <v>803</v>
      </c>
      <c r="P299" s="19">
        <f>IF(AG299="5",J299,0)</f>
        <v>0</v>
      </c>
      <c r="R299" s="19">
        <f>IF(AG299="1",H299,0)</f>
        <v>0</v>
      </c>
      <c r="S299" s="19">
        <f>IF(AG299="1",I299,0)</f>
        <v>0</v>
      </c>
      <c r="T299" s="19">
        <f>IF(AG299="7",H299,0)</f>
        <v>0</v>
      </c>
      <c r="U299" s="19">
        <f>IF(AG299="7",I299,0)</f>
        <v>0</v>
      </c>
      <c r="V299" s="19">
        <f>IF(AG299="2",H299,0)</f>
        <v>0</v>
      </c>
      <c r="W299" s="19">
        <f>IF(AG299="2",I299,0)</f>
        <v>0</v>
      </c>
      <c r="X299" s="19">
        <f>IF(AG299="0",J299,0)</f>
        <v>0</v>
      </c>
      <c r="Y299" s="13" t="s">
        <v>197</v>
      </c>
      <c r="Z299" s="10">
        <f>IF(AD299=0,J299,0)</f>
        <v>0</v>
      </c>
      <c r="AA299" s="10">
        <f>IF(AD299=15,J299,0)</f>
        <v>0</v>
      </c>
      <c r="AB299" s="10">
        <f>IF(AD299=21,J299,0)</f>
        <v>0</v>
      </c>
      <c r="AD299" s="19">
        <v>21</v>
      </c>
      <c r="AE299" s="19">
        <f>G299*1.00000919815117</f>
        <v>0</v>
      </c>
      <c r="AF299" s="19">
        <f>G299*(1-1.00000919815117)</f>
        <v>0</v>
      </c>
      <c r="AG299" s="15" t="s">
        <v>13</v>
      </c>
      <c r="AM299" s="19">
        <f>F299*AE299</f>
        <v>0</v>
      </c>
      <c r="AN299" s="19">
        <f>F299*AF299</f>
        <v>0</v>
      </c>
      <c r="AO299" s="20" t="s">
        <v>836</v>
      </c>
      <c r="AP299" s="20" t="s">
        <v>855</v>
      </c>
      <c r="AQ299" s="13" t="s">
        <v>859</v>
      </c>
      <c r="AS299" s="19">
        <f>AM299+AN299</f>
        <v>0</v>
      </c>
      <c r="AT299" s="19">
        <f>G299/(100-AU299)*100</f>
        <v>0</v>
      </c>
      <c r="AU299" s="19">
        <v>0</v>
      </c>
      <c r="AV299" s="19">
        <f>L299</f>
        <v>0.0855591</v>
      </c>
    </row>
    <row r="300" spans="1:13" ht="12.75">
      <c r="A300" s="132"/>
      <c r="B300" s="132"/>
      <c r="C300" s="132"/>
      <c r="D300" s="133" t="s">
        <v>662</v>
      </c>
      <c r="E300" s="132"/>
      <c r="F300" s="134">
        <v>0.27</v>
      </c>
      <c r="G300" s="132"/>
      <c r="H300" s="132"/>
      <c r="I300" s="132"/>
      <c r="J300" s="132"/>
      <c r="K300" s="132"/>
      <c r="L300" s="132"/>
      <c r="M300" s="132"/>
    </row>
    <row r="301" spans="1:13" ht="12.75">
      <c r="A301" s="132"/>
      <c r="B301" s="132"/>
      <c r="C301" s="132"/>
      <c r="D301" s="133" t="s">
        <v>663</v>
      </c>
      <c r="E301" s="132"/>
      <c r="F301" s="134">
        <v>1.87</v>
      </c>
      <c r="G301" s="132"/>
      <c r="H301" s="132"/>
      <c r="I301" s="132"/>
      <c r="J301" s="132"/>
      <c r="K301" s="132"/>
      <c r="L301" s="132"/>
      <c r="M301" s="132"/>
    </row>
    <row r="302" spans="1:13" ht="12.75">
      <c r="A302" s="132"/>
      <c r="B302" s="132"/>
      <c r="C302" s="132"/>
      <c r="D302" s="133" t="s">
        <v>664</v>
      </c>
      <c r="E302" s="132"/>
      <c r="F302" s="134">
        <v>1.13</v>
      </c>
      <c r="G302" s="132"/>
      <c r="H302" s="132"/>
      <c r="I302" s="132"/>
      <c r="J302" s="132"/>
      <c r="K302" s="132"/>
      <c r="L302" s="132"/>
      <c r="M302" s="132"/>
    </row>
    <row r="303" spans="1:13" ht="12.75">
      <c r="A303" s="132"/>
      <c r="B303" s="132"/>
      <c r="C303" s="132"/>
      <c r="D303" s="133" t="s">
        <v>665</v>
      </c>
      <c r="E303" s="132"/>
      <c r="F303" s="134">
        <v>0.36</v>
      </c>
      <c r="G303" s="132"/>
      <c r="H303" s="132"/>
      <c r="I303" s="132"/>
      <c r="J303" s="132"/>
      <c r="K303" s="132"/>
      <c r="L303" s="132"/>
      <c r="M303" s="132"/>
    </row>
    <row r="304" spans="1:48" ht="12.75">
      <c r="A304" s="129" t="s">
        <v>138</v>
      </c>
      <c r="B304" s="129" t="s">
        <v>197</v>
      </c>
      <c r="C304" s="129" t="s">
        <v>339</v>
      </c>
      <c r="D304" s="129" t="s">
        <v>666</v>
      </c>
      <c r="E304" s="129" t="s">
        <v>776</v>
      </c>
      <c r="F304" s="130">
        <v>16.43</v>
      </c>
      <c r="G304" s="130">
        <v>0</v>
      </c>
      <c r="H304" s="130">
        <f>F304*AE304</f>
        <v>0</v>
      </c>
      <c r="I304" s="130">
        <f>J304-H304</f>
        <v>0</v>
      </c>
      <c r="J304" s="130">
        <f>F304*G304</f>
        <v>0</v>
      </c>
      <c r="K304" s="130">
        <v>0</v>
      </c>
      <c r="L304" s="130">
        <f>F304*K304</f>
        <v>0</v>
      </c>
      <c r="M304" s="131" t="s">
        <v>803</v>
      </c>
      <c r="P304" s="19">
        <f>IF(AG304="5",J304,0)</f>
        <v>0</v>
      </c>
      <c r="R304" s="19">
        <f>IF(AG304="1",H304,0)</f>
        <v>0</v>
      </c>
      <c r="S304" s="19">
        <f>IF(AG304="1",I304,0)</f>
        <v>0</v>
      </c>
      <c r="T304" s="19">
        <f>IF(AG304="7",H304,0)</f>
        <v>0</v>
      </c>
      <c r="U304" s="19">
        <f>IF(AG304="7",I304,0)</f>
        <v>0</v>
      </c>
      <c r="V304" s="19">
        <f>IF(AG304="2",H304,0)</f>
        <v>0</v>
      </c>
      <c r="W304" s="19">
        <f>IF(AG304="2",I304,0)</f>
        <v>0</v>
      </c>
      <c r="X304" s="19">
        <f>IF(AG304="0",J304,0)</f>
        <v>0</v>
      </c>
      <c r="Y304" s="13" t="s">
        <v>197</v>
      </c>
      <c r="Z304" s="10">
        <f>IF(AD304=0,J304,0)</f>
        <v>0</v>
      </c>
      <c r="AA304" s="10">
        <f>IF(AD304=15,J304,0)</f>
        <v>0</v>
      </c>
      <c r="AB304" s="10">
        <f>IF(AD304=21,J304,0)</f>
        <v>0</v>
      </c>
      <c r="AD304" s="19">
        <v>21</v>
      </c>
      <c r="AE304" s="19">
        <f>G304*0</f>
        <v>0</v>
      </c>
      <c r="AF304" s="19">
        <f>G304*(1-0)</f>
        <v>0</v>
      </c>
      <c r="AG304" s="15" t="s">
        <v>13</v>
      </c>
      <c r="AM304" s="19">
        <f>F304*AE304</f>
        <v>0</v>
      </c>
      <c r="AN304" s="19">
        <f>F304*AF304</f>
        <v>0</v>
      </c>
      <c r="AO304" s="20" t="s">
        <v>836</v>
      </c>
      <c r="AP304" s="20" t="s">
        <v>855</v>
      </c>
      <c r="AQ304" s="13" t="s">
        <v>859</v>
      </c>
      <c r="AS304" s="19">
        <f>AM304+AN304</f>
        <v>0</v>
      </c>
      <c r="AT304" s="19">
        <f>G304/(100-AU304)*100</f>
        <v>0</v>
      </c>
      <c r="AU304" s="19">
        <v>0</v>
      </c>
      <c r="AV304" s="19">
        <f>L304</f>
        <v>0</v>
      </c>
    </row>
    <row r="305" spans="1:13" ht="12.75">
      <c r="A305" s="132"/>
      <c r="B305" s="132"/>
      <c r="C305" s="132"/>
      <c r="D305" s="133" t="s">
        <v>667</v>
      </c>
      <c r="E305" s="132"/>
      <c r="F305" s="134">
        <v>11.92</v>
      </c>
      <c r="G305" s="132"/>
      <c r="H305" s="132"/>
      <c r="I305" s="132"/>
      <c r="J305" s="132"/>
      <c r="K305" s="132"/>
      <c r="L305" s="132"/>
      <c r="M305" s="132"/>
    </row>
    <row r="306" spans="1:13" ht="12.75">
      <c r="A306" s="132"/>
      <c r="B306" s="132"/>
      <c r="C306" s="132"/>
      <c r="D306" s="133" t="s">
        <v>668</v>
      </c>
      <c r="E306" s="132"/>
      <c r="F306" s="134">
        <v>4.51</v>
      </c>
      <c r="G306" s="132"/>
      <c r="H306" s="132"/>
      <c r="I306" s="132"/>
      <c r="J306" s="132"/>
      <c r="K306" s="132"/>
      <c r="L306" s="132"/>
      <c r="M306" s="132"/>
    </row>
    <row r="307" spans="1:48" ht="12.75">
      <c r="A307" s="135" t="s">
        <v>139</v>
      </c>
      <c r="B307" s="135" t="s">
        <v>197</v>
      </c>
      <c r="C307" s="135" t="s">
        <v>336</v>
      </c>
      <c r="D307" s="135" t="s">
        <v>657</v>
      </c>
      <c r="E307" s="135" t="s">
        <v>776</v>
      </c>
      <c r="F307" s="136">
        <v>18.07</v>
      </c>
      <c r="G307" s="136">
        <v>0</v>
      </c>
      <c r="H307" s="136">
        <f>F307*AE307</f>
        <v>0</v>
      </c>
      <c r="I307" s="136">
        <f>J307-H307</f>
        <v>0</v>
      </c>
      <c r="J307" s="136">
        <f>F307*G307</f>
        <v>0</v>
      </c>
      <c r="K307" s="136">
        <v>0.0139</v>
      </c>
      <c r="L307" s="136">
        <f>F307*K307</f>
        <v>0.251173</v>
      </c>
      <c r="M307" s="137" t="s">
        <v>803</v>
      </c>
      <c r="P307" s="19">
        <f>IF(AG307="5",J307,0)</f>
        <v>0</v>
      </c>
      <c r="R307" s="19">
        <f>IF(AG307="1",H307,0)</f>
        <v>0</v>
      </c>
      <c r="S307" s="19">
        <f>IF(AG307="1",I307,0)</f>
        <v>0</v>
      </c>
      <c r="T307" s="19">
        <f>IF(AG307="7",H307,0)</f>
        <v>0</v>
      </c>
      <c r="U307" s="19">
        <f>IF(AG307="7",I307,0)</f>
        <v>0</v>
      </c>
      <c r="V307" s="19">
        <f>IF(AG307="2",H307,0)</f>
        <v>0</v>
      </c>
      <c r="W307" s="19">
        <f>IF(AG307="2",I307,0)</f>
        <v>0</v>
      </c>
      <c r="X307" s="19">
        <f>IF(AG307="0",J307,0)</f>
        <v>0</v>
      </c>
      <c r="Y307" s="13" t="s">
        <v>197</v>
      </c>
      <c r="Z307" s="11">
        <f>IF(AD307=0,J307,0)</f>
        <v>0</v>
      </c>
      <c r="AA307" s="11">
        <f>IF(AD307=15,J307,0)</f>
        <v>0</v>
      </c>
      <c r="AB307" s="11">
        <f>IF(AD307=21,J307,0)</f>
        <v>0</v>
      </c>
      <c r="AD307" s="19">
        <v>21</v>
      </c>
      <c r="AE307" s="19">
        <f>G307*1</f>
        <v>0</v>
      </c>
      <c r="AF307" s="19">
        <f>G307*(1-1)</f>
        <v>0</v>
      </c>
      <c r="AG307" s="16" t="s">
        <v>13</v>
      </c>
      <c r="AM307" s="19">
        <f>F307*AE307</f>
        <v>0</v>
      </c>
      <c r="AN307" s="19">
        <f>F307*AF307</f>
        <v>0</v>
      </c>
      <c r="AO307" s="20" t="s">
        <v>836</v>
      </c>
      <c r="AP307" s="20" t="s">
        <v>855</v>
      </c>
      <c r="AQ307" s="13" t="s">
        <v>859</v>
      </c>
      <c r="AS307" s="19">
        <f>AM307+AN307</f>
        <v>0</v>
      </c>
      <c r="AT307" s="19">
        <f>G307/(100-AU307)*100</f>
        <v>0</v>
      </c>
      <c r="AU307" s="19">
        <v>0</v>
      </c>
      <c r="AV307" s="19">
        <f>L307</f>
        <v>0.251173</v>
      </c>
    </row>
    <row r="308" spans="1:13" ht="12.75">
      <c r="A308" s="132"/>
      <c r="B308" s="132"/>
      <c r="C308" s="132"/>
      <c r="D308" s="133" t="s">
        <v>669</v>
      </c>
      <c r="E308" s="132"/>
      <c r="F308" s="134">
        <v>18.07</v>
      </c>
      <c r="G308" s="132"/>
      <c r="H308" s="132"/>
      <c r="I308" s="132"/>
      <c r="J308" s="132"/>
      <c r="K308" s="132"/>
      <c r="L308" s="132"/>
      <c r="M308" s="132"/>
    </row>
    <row r="309" spans="1:48" ht="12.75">
      <c r="A309" s="129" t="s">
        <v>140</v>
      </c>
      <c r="B309" s="129" t="s">
        <v>197</v>
      </c>
      <c r="C309" s="129" t="s">
        <v>340</v>
      </c>
      <c r="D309" s="129" t="s">
        <v>670</v>
      </c>
      <c r="E309" s="129" t="s">
        <v>778</v>
      </c>
      <c r="F309" s="130">
        <v>2.76</v>
      </c>
      <c r="G309" s="130">
        <v>0</v>
      </c>
      <c r="H309" s="130">
        <f>F309*AE309</f>
        <v>0</v>
      </c>
      <c r="I309" s="130">
        <f>J309-H309</f>
        <v>0</v>
      </c>
      <c r="J309" s="130">
        <f>F309*G309</f>
        <v>0</v>
      </c>
      <c r="K309" s="130">
        <v>0</v>
      </c>
      <c r="L309" s="130">
        <f>F309*K309</f>
        <v>0</v>
      </c>
      <c r="M309" s="131" t="s">
        <v>803</v>
      </c>
      <c r="P309" s="19">
        <f>IF(AG309="5",J309,0)</f>
        <v>0</v>
      </c>
      <c r="R309" s="19">
        <f>IF(AG309="1",H309,0)</f>
        <v>0</v>
      </c>
      <c r="S309" s="19">
        <f>IF(AG309="1",I309,0)</f>
        <v>0</v>
      </c>
      <c r="T309" s="19">
        <f>IF(AG309="7",H309,0)</f>
        <v>0</v>
      </c>
      <c r="U309" s="19">
        <f>IF(AG309="7",I309,0)</f>
        <v>0</v>
      </c>
      <c r="V309" s="19">
        <f>IF(AG309="2",H309,0)</f>
        <v>0</v>
      </c>
      <c r="W309" s="19">
        <f>IF(AG309="2",I309,0)</f>
        <v>0</v>
      </c>
      <c r="X309" s="19">
        <f>IF(AG309="0",J309,0)</f>
        <v>0</v>
      </c>
      <c r="Y309" s="13" t="s">
        <v>197</v>
      </c>
      <c r="Z309" s="10">
        <f>IF(AD309=0,J309,0)</f>
        <v>0</v>
      </c>
      <c r="AA309" s="10">
        <f>IF(AD309=15,J309,0)</f>
        <v>0</v>
      </c>
      <c r="AB309" s="10">
        <f>IF(AD309=21,J309,0)</f>
        <v>0</v>
      </c>
      <c r="AD309" s="19">
        <v>21</v>
      </c>
      <c r="AE309" s="19">
        <f>G309*0</f>
        <v>0</v>
      </c>
      <c r="AF309" s="19">
        <f>G309*(1-0)</f>
        <v>0</v>
      </c>
      <c r="AG309" s="15" t="s">
        <v>11</v>
      </c>
      <c r="AM309" s="19">
        <f>F309*AE309</f>
        <v>0</v>
      </c>
      <c r="AN309" s="19">
        <f>F309*AF309</f>
        <v>0</v>
      </c>
      <c r="AO309" s="20" t="s">
        <v>836</v>
      </c>
      <c r="AP309" s="20" t="s">
        <v>855</v>
      </c>
      <c r="AQ309" s="13" t="s">
        <v>859</v>
      </c>
      <c r="AS309" s="19">
        <f>AM309+AN309</f>
        <v>0</v>
      </c>
      <c r="AT309" s="19">
        <f>G309/(100-AU309)*100</f>
        <v>0</v>
      </c>
      <c r="AU309" s="19">
        <v>0</v>
      </c>
      <c r="AV309" s="19">
        <f>L309</f>
        <v>0</v>
      </c>
    </row>
    <row r="310" spans="1:37" ht="12.75">
      <c r="A310" s="125"/>
      <c r="B310" s="126" t="s">
        <v>197</v>
      </c>
      <c r="C310" s="126" t="s">
        <v>341</v>
      </c>
      <c r="D310" s="126" t="s">
        <v>671</v>
      </c>
      <c r="E310" s="125" t="s">
        <v>6</v>
      </c>
      <c r="F310" s="125" t="s">
        <v>6</v>
      </c>
      <c r="G310" s="125" t="s">
        <v>6</v>
      </c>
      <c r="H310" s="127">
        <f>SUM(H311:H332)</f>
        <v>0</v>
      </c>
      <c r="I310" s="127">
        <f>SUM(I311:I332)</f>
        <v>0</v>
      </c>
      <c r="J310" s="127">
        <f>H310+I310</f>
        <v>0</v>
      </c>
      <c r="K310" s="128"/>
      <c r="L310" s="127">
        <f>SUM(L311:L332)</f>
        <v>0.254991</v>
      </c>
      <c r="M310" s="128"/>
      <c r="Y310" s="13" t="s">
        <v>197</v>
      </c>
      <c r="AI310" s="22">
        <f>SUM(Z311:Z332)</f>
        <v>0</v>
      </c>
      <c r="AJ310" s="22">
        <f>SUM(AA311:AA332)</f>
        <v>0</v>
      </c>
      <c r="AK310" s="22">
        <f>SUM(AB311:AB332)</f>
        <v>0</v>
      </c>
    </row>
    <row r="311" spans="1:48" ht="12.75">
      <c r="A311" s="129" t="s">
        <v>141</v>
      </c>
      <c r="B311" s="129" t="s">
        <v>197</v>
      </c>
      <c r="C311" s="129" t="s">
        <v>342</v>
      </c>
      <c r="D311" s="129" t="s">
        <v>672</v>
      </c>
      <c r="E311" s="129" t="s">
        <v>779</v>
      </c>
      <c r="F311" s="130">
        <v>6.06</v>
      </c>
      <c r="G311" s="130">
        <v>0</v>
      </c>
      <c r="H311" s="130">
        <f>F311*AE311</f>
        <v>0</v>
      </c>
      <c r="I311" s="130">
        <f>J311-H311</f>
        <v>0</v>
      </c>
      <c r="J311" s="130">
        <f>F311*G311</f>
        <v>0</v>
      </c>
      <c r="K311" s="130">
        <v>0.00192</v>
      </c>
      <c r="L311" s="130">
        <f>F311*K311</f>
        <v>0.0116352</v>
      </c>
      <c r="M311" s="131" t="s">
        <v>803</v>
      </c>
      <c r="P311" s="19">
        <f>IF(AG311="5",J311,0)</f>
        <v>0</v>
      </c>
      <c r="R311" s="19">
        <f>IF(AG311="1",H311,0)</f>
        <v>0</v>
      </c>
      <c r="S311" s="19">
        <f>IF(AG311="1",I311,0)</f>
        <v>0</v>
      </c>
      <c r="T311" s="19">
        <f>IF(AG311="7",H311,0)</f>
        <v>0</v>
      </c>
      <c r="U311" s="19">
        <f>IF(AG311="7",I311,0)</f>
        <v>0</v>
      </c>
      <c r="V311" s="19">
        <f>IF(AG311="2",H311,0)</f>
        <v>0</v>
      </c>
      <c r="W311" s="19">
        <f>IF(AG311="2",I311,0)</f>
        <v>0</v>
      </c>
      <c r="X311" s="19">
        <f>IF(AG311="0",J311,0)</f>
        <v>0</v>
      </c>
      <c r="Y311" s="13" t="s">
        <v>197</v>
      </c>
      <c r="Z311" s="10">
        <f>IF(AD311=0,J311,0)</f>
        <v>0</v>
      </c>
      <c r="AA311" s="10">
        <f>IF(AD311=15,J311,0)</f>
        <v>0</v>
      </c>
      <c r="AB311" s="10">
        <f>IF(AD311=21,J311,0)</f>
        <v>0</v>
      </c>
      <c r="AD311" s="19">
        <v>21</v>
      </c>
      <c r="AE311" s="19">
        <f>G311*0</f>
        <v>0</v>
      </c>
      <c r="AF311" s="19">
        <f>G311*(1-0)</f>
        <v>0</v>
      </c>
      <c r="AG311" s="15" t="s">
        <v>13</v>
      </c>
      <c r="AM311" s="19">
        <f>F311*AE311</f>
        <v>0</v>
      </c>
      <c r="AN311" s="19">
        <f>F311*AF311</f>
        <v>0</v>
      </c>
      <c r="AO311" s="20" t="s">
        <v>837</v>
      </c>
      <c r="AP311" s="20" t="s">
        <v>855</v>
      </c>
      <c r="AQ311" s="13" t="s">
        <v>859</v>
      </c>
      <c r="AS311" s="19">
        <f>AM311+AN311</f>
        <v>0</v>
      </c>
      <c r="AT311" s="19">
        <f>G311/(100-AU311)*100</f>
        <v>0</v>
      </c>
      <c r="AU311" s="19">
        <v>0</v>
      </c>
      <c r="AV311" s="19">
        <f>L311</f>
        <v>0.0116352</v>
      </c>
    </row>
    <row r="312" spans="1:48" ht="12.75">
      <c r="A312" s="129" t="s">
        <v>142</v>
      </c>
      <c r="B312" s="129" t="s">
        <v>197</v>
      </c>
      <c r="C312" s="129" t="s">
        <v>343</v>
      </c>
      <c r="D312" s="129" t="s">
        <v>673</v>
      </c>
      <c r="E312" s="129" t="s">
        <v>779</v>
      </c>
      <c r="F312" s="130">
        <v>0.6</v>
      </c>
      <c r="G312" s="130">
        <v>0</v>
      </c>
      <c r="H312" s="130">
        <f>F312*AE312</f>
        <v>0</v>
      </c>
      <c r="I312" s="130">
        <f>J312-H312</f>
        <v>0</v>
      </c>
      <c r="J312" s="130">
        <f>F312*G312</f>
        <v>0</v>
      </c>
      <c r="K312" s="130">
        <v>0.00464</v>
      </c>
      <c r="L312" s="130">
        <f>F312*K312</f>
        <v>0.002784</v>
      </c>
      <c r="M312" s="131" t="s">
        <v>803</v>
      </c>
      <c r="P312" s="19">
        <f>IF(AG312="5",J312,0)</f>
        <v>0</v>
      </c>
      <c r="R312" s="19">
        <f>IF(AG312="1",H312,0)</f>
        <v>0</v>
      </c>
      <c r="S312" s="19">
        <f>IF(AG312="1",I312,0)</f>
        <v>0</v>
      </c>
      <c r="T312" s="19">
        <f>IF(AG312="7",H312,0)</f>
        <v>0</v>
      </c>
      <c r="U312" s="19">
        <f>IF(AG312="7",I312,0)</f>
        <v>0</v>
      </c>
      <c r="V312" s="19">
        <f>IF(AG312="2",H312,0)</f>
        <v>0</v>
      </c>
      <c r="W312" s="19">
        <f>IF(AG312="2",I312,0)</f>
        <v>0</v>
      </c>
      <c r="X312" s="19">
        <f>IF(AG312="0",J312,0)</f>
        <v>0</v>
      </c>
      <c r="Y312" s="13" t="s">
        <v>197</v>
      </c>
      <c r="Z312" s="10">
        <f>IF(AD312=0,J312,0)</f>
        <v>0</v>
      </c>
      <c r="AA312" s="10">
        <f>IF(AD312=15,J312,0)</f>
        <v>0</v>
      </c>
      <c r="AB312" s="10">
        <f>IF(AD312=21,J312,0)</f>
        <v>0</v>
      </c>
      <c r="AD312" s="19">
        <v>21</v>
      </c>
      <c r="AE312" s="19">
        <f>G312*0</f>
        <v>0</v>
      </c>
      <c r="AF312" s="19">
        <f>G312*(1-0)</f>
        <v>0</v>
      </c>
      <c r="AG312" s="15" t="s">
        <v>13</v>
      </c>
      <c r="AM312" s="19">
        <f>F312*AE312</f>
        <v>0</v>
      </c>
      <c r="AN312" s="19">
        <f>F312*AF312</f>
        <v>0</v>
      </c>
      <c r="AO312" s="20" t="s">
        <v>837</v>
      </c>
      <c r="AP312" s="20" t="s">
        <v>855</v>
      </c>
      <c r="AQ312" s="13" t="s">
        <v>859</v>
      </c>
      <c r="AS312" s="19">
        <f>AM312+AN312</f>
        <v>0</v>
      </c>
      <c r="AT312" s="19">
        <f>G312/(100-AU312)*100</f>
        <v>0</v>
      </c>
      <c r="AU312" s="19">
        <v>0</v>
      </c>
      <c r="AV312" s="19">
        <f>L312</f>
        <v>0.002784</v>
      </c>
    </row>
    <row r="313" spans="1:48" ht="12.75">
      <c r="A313" s="129" t="s">
        <v>143</v>
      </c>
      <c r="B313" s="129" t="s">
        <v>197</v>
      </c>
      <c r="C313" s="129" t="s">
        <v>344</v>
      </c>
      <c r="D313" s="129" t="s">
        <v>674</v>
      </c>
      <c r="E313" s="129" t="s">
        <v>779</v>
      </c>
      <c r="F313" s="130">
        <v>0.65</v>
      </c>
      <c r="G313" s="130">
        <v>0</v>
      </c>
      <c r="H313" s="130">
        <f>F313*AE313</f>
        <v>0</v>
      </c>
      <c r="I313" s="130">
        <f>J313-H313</f>
        <v>0</v>
      </c>
      <c r="J313" s="130">
        <f>F313*G313</f>
        <v>0</v>
      </c>
      <c r="K313" s="130">
        <v>0.00326</v>
      </c>
      <c r="L313" s="130">
        <f>F313*K313</f>
        <v>0.002119</v>
      </c>
      <c r="M313" s="131" t="s">
        <v>803</v>
      </c>
      <c r="P313" s="19">
        <f>IF(AG313="5",J313,0)</f>
        <v>0</v>
      </c>
      <c r="R313" s="19">
        <f>IF(AG313="1",H313,0)</f>
        <v>0</v>
      </c>
      <c r="S313" s="19">
        <f>IF(AG313="1",I313,0)</f>
        <v>0</v>
      </c>
      <c r="T313" s="19">
        <f>IF(AG313="7",H313,0)</f>
        <v>0</v>
      </c>
      <c r="U313" s="19">
        <f>IF(AG313="7",I313,0)</f>
        <v>0</v>
      </c>
      <c r="V313" s="19">
        <f>IF(AG313="2",H313,0)</f>
        <v>0</v>
      </c>
      <c r="W313" s="19">
        <f>IF(AG313="2",I313,0)</f>
        <v>0</v>
      </c>
      <c r="X313" s="19">
        <f>IF(AG313="0",J313,0)</f>
        <v>0</v>
      </c>
      <c r="Y313" s="13" t="s">
        <v>197</v>
      </c>
      <c r="Z313" s="10">
        <f>IF(AD313=0,J313,0)</f>
        <v>0</v>
      </c>
      <c r="AA313" s="10">
        <f>IF(AD313=15,J313,0)</f>
        <v>0</v>
      </c>
      <c r="AB313" s="10">
        <f>IF(AD313=21,J313,0)</f>
        <v>0</v>
      </c>
      <c r="AD313" s="19">
        <v>21</v>
      </c>
      <c r="AE313" s="19">
        <f>G313*0</f>
        <v>0</v>
      </c>
      <c r="AF313" s="19">
        <f>G313*(1-0)</f>
        <v>0</v>
      </c>
      <c r="AG313" s="15" t="s">
        <v>13</v>
      </c>
      <c r="AM313" s="19">
        <f>F313*AE313</f>
        <v>0</v>
      </c>
      <c r="AN313" s="19">
        <f>F313*AF313</f>
        <v>0</v>
      </c>
      <c r="AO313" s="20" t="s">
        <v>837</v>
      </c>
      <c r="AP313" s="20" t="s">
        <v>855</v>
      </c>
      <c r="AQ313" s="13" t="s">
        <v>859</v>
      </c>
      <c r="AS313" s="19">
        <f>AM313+AN313</f>
        <v>0</v>
      </c>
      <c r="AT313" s="19">
        <f>G313/(100-AU313)*100</f>
        <v>0</v>
      </c>
      <c r="AU313" s="19">
        <v>0</v>
      </c>
      <c r="AV313" s="19">
        <f>L313</f>
        <v>0.002119</v>
      </c>
    </row>
    <row r="314" spans="1:48" ht="12.75">
      <c r="A314" s="129" t="s">
        <v>144</v>
      </c>
      <c r="B314" s="129" t="s">
        <v>197</v>
      </c>
      <c r="C314" s="129" t="s">
        <v>345</v>
      </c>
      <c r="D314" s="129" t="s">
        <v>675</v>
      </c>
      <c r="E314" s="129" t="s">
        <v>779</v>
      </c>
      <c r="F314" s="130">
        <v>5.7</v>
      </c>
      <c r="G314" s="130">
        <v>0</v>
      </c>
      <c r="H314" s="130">
        <f>F314*AE314</f>
        <v>0</v>
      </c>
      <c r="I314" s="130">
        <f>J314-H314</f>
        <v>0</v>
      </c>
      <c r="J314" s="130">
        <f>F314*G314</f>
        <v>0</v>
      </c>
      <c r="K314" s="130">
        <v>0.00145</v>
      </c>
      <c r="L314" s="130">
        <f>F314*K314</f>
        <v>0.008265</v>
      </c>
      <c r="M314" s="131" t="s">
        <v>803</v>
      </c>
      <c r="P314" s="19">
        <f>IF(AG314="5",J314,0)</f>
        <v>0</v>
      </c>
      <c r="R314" s="19">
        <f>IF(AG314="1",H314,0)</f>
        <v>0</v>
      </c>
      <c r="S314" s="19">
        <f>IF(AG314="1",I314,0)</f>
        <v>0</v>
      </c>
      <c r="T314" s="19">
        <f>IF(AG314="7",H314,0)</f>
        <v>0</v>
      </c>
      <c r="U314" s="19">
        <f>IF(AG314="7",I314,0)</f>
        <v>0</v>
      </c>
      <c r="V314" s="19">
        <f>IF(AG314="2",H314,0)</f>
        <v>0</v>
      </c>
      <c r="W314" s="19">
        <f>IF(AG314="2",I314,0)</f>
        <v>0</v>
      </c>
      <c r="X314" s="19">
        <f>IF(AG314="0",J314,0)</f>
        <v>0</v>
      </c>
      <c r="Y314" s="13" t="s">
        <v>197</v>
      </c>
      <c r="Z314" s="10">
        <f>IF(AD314=0,J314,0)</f>
        <v>0</v>
      </c>
      <c r="AA314" s="10">
        <f>IF(AD314=15,J314,0)</f>
        <v>0</v>
      </c>
      <c r="AB314" s="10">
        <f>IF(AD314=21,J314,0)</f>
        <v>0</v>
      </c>
      <c r="AD314" s="19">
        <v>21</v>
      </c>
      <c r="AE314" s="19">
        <f>G314*0.302470433639947</f>
        <v>0</v>
      </c>
      <c r="AF314" s="19">
        <f>G314*(1-0.302470433639947)</f>
        <v>0</v>
      </c>
      <c r="AG314" s="15" t="s">
        <v>13</v>
      </c>
      <c r="AM314" s="19">
        <f>F314*AE314</f>
        <v>0</v>
      </c>
      <c r="AN314" s="19">
        <f>F314*AF314</f>
        <v>0</v>
      </c>
      <c r="AO314" s="20" t="s">
        <v>837</v>
      </c>
      <c r="AP314" s="20" t="s">
        <v>855</v>
      </c>
      <c r="AQ314" s="13" t="s">
        <v>859</v>
      </c>
      <c r="AS314" s="19">
        <f>AM314+AN314</f>
        <v>0</v>
      </c>
      <c r="AT314" s="19">
        <f>G314/(100-AU314)*100</f>
        <v>0</v>
      </c>
      <c r="AU314" s="19">
        <v>0</v>
      </c>
      <c r="AV314" s="19">
        <f>L314</f>
        <v>0.008265</v>
      </c>
    </row>
    <row r="315" spans="1:13" ht="12.75">
      <c r="A315" s="132"/>
      <c r="B315" s="132"/>
      <c r="C315" s="132"/>
      <c r="D315" s="133" t="s">
        <v>587</v>
      </c>
      <c r="E315" s="132"/>
      <c r="F315" s="134">
        <v>3.2</v>
      </c>
      <c r="G315" s="132"/>
      <c r="H315" s="132"/>
      <c r="I315" s="132"/>
      <c r="J315" s="132"/>
      <c r="K315" s="132"/>
      <c r="L315" s="132"/>
      <c r="M315" s="132"/>
    </row>
    <row r="316" spans="1:13" ht="12.75">
      <c r="A316" s="132"/>
      <c r="B316" s="132"/>
      <c r="C316" s="132"/>
      <c r="D316" s="133" t="s">
        <v>676</v>
      </c>
      <c r="E316" s="132"/>
      <c r="F316" s="134">
        <v>2.5</v>
      </c>
      <c r="G316" s="132"/>
      <c r="H316" s="132"/>
      <c r="I316" s="132"/>
      <c r="J316" s="132"/>
      <c r="K316" s="132"/>
      <c r="L316" s="132"/>
      <c r="M316" s="132"/>
    </row>
    <row r="317" spans="1:48" ht="12.75">
      <c r="A317" s="129" t="s">
        <v>145</v>
      </c>
      <c r="B317" s="129" t="s">
        <v>197</v>
      </c>
      <c r="C317" s="129" t="s">
        <v>346</v>
      </c>
      <c r="D317" s="129" t="s">
        <v>677</v>
      </c>
      <c r="E317" s="129" t="s">
        <v>779</v>
      </c>
      <c r="F317" s="130">
        <v>8.5</v>
      </c>
      <c r="G317" s="130">
        <v>0</v>
      </c>
      <c r="H317" s="130">
        <f>F317*AE317</f>
        <v>0</v>
      </c>
      <c r="I317" s="130">
        <f>J317-H317</f>
        <v>0</v>
      </c>
      <c r="J317" s="130">
        <f>F317*G317</f>
        <v>0</v>
      </c>
      <c r="K317" s="130">
        <v>0.00483</v>
      </c>
      <c r="L317" s="130">
        <f>F317*K317</f>
        <v>0.041055</v>
      </c>
      <c r="M317" s="131" t="s">
        <v>803</v>
      </c>
      <c r="P317" s="19">
        <f>IF(AG317="5",J317,0)</f>
        <v>0</v>
      </c>
      <c r="R317" s="19">
        <f>IF(AG317="1",H317,0)</f>
        <v>0</v>
      </c>
      <c r="S317" s="19">
        <f>IF(AG317="1",I317,0)</f>
        <v>0</v>
      </c>
      <c r="T317" s="19">
        <f>IF(AG317="7",H317,0)</f>
        <v>0</v>
      </c>
      <c r="U317" s="19">
        <f>IF(AG317="7",I317,0)</f>
        <v>0</v>
      </c>
      <c r="V317" s="19">
        <f>IF(AG317="2",H317,0)</f>
        <v>0</v>
      </c>
      <c r="W317" s="19">
        <f>IF(AG317="2",I317,0)</f>
        <v>0</v>
      </c>
      <c r="X317" s="19">
        <f>IF(AG317="0",J317,0)</f>
        <v>0</v>
      </c>
      <c r="Y317" s="13" t="s">
        <v>197</v>
      </c>
      <c r="Z317" s="10">
        <f>IF(AD317=0,J317,0)</f>
        <v>0</v>
      </c>
      <c r="AA317" s="10">
        <f>IF(AD317=15,J317,0)</f>
        <v>0</v>
      </c>
      <c r="AB317" s="10">
        <f>IF(AD317=21,J317,0)</f>
        <v>0</v>
      </c>
      <c r="AD317" s="19">
        <v>21</v>
      </c>
      <c r="AE317" s="19">
        <f>G317*0.564729055749342</f>
        <v>0</v>
      </c>
      <c r="AF317" s="19">
        <f>G317*(1-0.564729055749342)</f>
        <v>0</v>
      </c>
      <c r="AG317" s="15" t="s">
        <v>13</v>
      </c>
      <c r="AM317" s="19">
        <f>F317*AE317</f>
        <v>0</v>
      </c>
      <c r="AN317" s="19">
        <f>F317*AF317</f>
        <v>0</v>
      </c>
      <c r="AO317" s="20" t="s">
        <v>837</v>
      </c>
      <c r="AP317" s="20" t="s">
        <v>855</v>
      </c>
      <c r="AQ317" s="13" t="s">
        <v>859</v>
      </c>
      <c r="AS317" s="19">
        <f>AM317+AN317</f>
        <v>0</v>
      </c>
      <c r="AT317" s="19">
        <f>G317/(100-AU317)*100</f>
        <v>0</v>
      </c>
      <c r="AU317" s="19">
        <v>0</v>
      </c>
      <c r="AV317" s="19">
        <f>L317</f>
        <v>0.041055</v>
      </c>
    </row>
    <row r="318" spans="1:13" ht="12.75">
      <c r="A318" s="132"/>
      <c r="B318" s="132"/>
      <c r="C318" s="132"/>
      <c r="D318" s="133" t="s">
        <v>678</v>
      </c>
      <c r="E318" s="132"/>
      <c r="F318" s="134">
        <v>8.5</v>
      </c>
      <c r="G318" s="132"/>
      <c r="H318" s="132"/>
      <c r="I318" s="132"/>
      <c r="J318" s="132"/>
      <c r="K318" s="132"/>
      <c r="L318" s="132"/>
      <c r="M318" s="132"/>
    </row>
    <row r="319" spans="1:48" ht="12.75">
      <c r="A319" s="129" t="s">
        <v>146</v>
      </c>
      <c r="B319" s="129" t="s">
        <v>197</v>
      </c>
      <c r="C319" s="129" t="s">
        <v>347</v>
      </c>
      <c r="D319" s="129" t="s">
        <v>679</v>
      </c>
      <c r="E319" s="129" t="s">
        <v>779</v>
      </c>
      <c r="F319" s="130">
        <v>6.06</v>
      </c>
      <c r="G319" s="130">
        <v>0</v>
      </c>
      <c r="H319" s="130">
        <f>F319*AE319</f>
        <v>0</v>
      </c>
      <c r="I319" s="130">
        <f>J319-H319</f>
        <v>0</v>
      </c>
      <c r="J319" s="130">
        <f>F319*G319</f>
        <v>0</v>
      </c>
      <c r="K319" s="130">
        <v>0.00325</v>
      </c>
      <c r="L319" s="130">
        <f>F319*K319</f>
        <v>0.019694999999999997</v>
      </c>
      <c r="M319" s="131" t="s">
        <v>803</v>
      </c>
      <c r="P319" s="19">
        <f>IF(AG319="5",J319,0)</f>
        <v>0</v>
      </c>
      <c r="R319" s="19">
        <f>IF(AG319="1",H319,0)</f>
        <v>0</v>
      </c>
      <c r="S319" s="19">
        <f>IF(AG319="1",I319,0)</f>
        <v>0</v>
      </c>
      <c r="T319" s="19">
        <f>IF(AG319="7",H319,0)</f>
        <v>0</v>
      </c>
      <c r="U319" s="19">
        <f>IF(AG319="7",I319,0)</f>
        <v>0</v>
      </c>
      <c r="V319" s="19">
        <f>IF(AG319="2",H319,0)</f>
        <v>0</v>
      </c>
      <c r="W319" s="19">
        <f>IF(AG319="2",I319,0)</f>
        <v>0</v>
      </c>
      <c r="X319" s="19">
        <f>IF(AG319="0",J319,0)</f>
        <v>0</v>
      </c>
      <c r="Y319" s="13" t="s">
        <v>197</v>
      </c>
      <c r="Z319" s="10">
        <f>IF(AD319=0,J319,0)</f>
        <v>0</v>
      </c>
      <c r="AA319" s="10">
        <f>IF(AD319=15,J319,0)</f>
        <v>0</v>
      </c>
      <c r="AB319" s="10">
        <f>IF(AD319=21,J319,0)</f>
        <v>0</v>
      </c>
      <c r="AD319" s="19">
        <v>21</v>
      </c>
      <c r="AE319" s="19">
        <f>G319*0.5442791344294</f>
        <v>0</v>
      </c>
      <c r="AF319" s="19">
        <f>G319*(1-0.5442791344294)</f>
        <v>0</v>
      </c>
      <c r="AG319" s="15" t="s">
        <v>13</v>
      </c>
      <c r="AM319" s="19">
        <f>F319*AE319</f>
        <v>0</v>
      </c>
      <c r="AN319" s="19">
        <f>F319*AF319</f>
        <v>0</v>
      </c>
      <c r="AO319" s="20" t="s">
        <v>837</v>
      </c>
      <c r="AP319" s="20" t="s">
        <v>855</v>
      </c>
      <c r="AQ319" s="13" t="s">
        <v>859</v>
      </c>
      <c r="AS319" s="19">
        <f>AM319+AN319</f>
        <v>0</v>
      </c>
      <c r="AT319" s="19">
        <f>G319/(100-AU319)*100</f>
        <v>0</v>
      </c>
      <c r="AU319" s="19">
        <v>0</v>
      </c>
      <c r="AV319" s="19">
        <f>L319</f>
        <v>0.019694999999999997</v>
      </c>
    </row>
    <row r="320" spans="1:13" ht="12.75">
      <c r="A320" s="132"/>
      <c r="B320" s="132"/>
      <c r="C320" s="132"/>
      <c r="D320" s="133" t="s">
        <v>680</v>
      </c>
      <c r="E320" s="132"/>
      <c r="F320" s="134">
        <v>6.06</v>
      </c>
      <c r="G320" s="132"/>
      <c r="H320" s="132"/>
      <c r="I320" s="132"/>
      <c r="J320" s="132"/>
      <c r="K320" s="132"/>
      <c r="L320" s="132"/>
      <c r="M320" s="132"/>
    </row>
    <row r="321" spans="1:48" ht="12.75">
      <c r="A321" s="129" t="s">
        <v>147</v>
      </c>
      <c r="B321" s="129" t="s">
        <v>197</v>
      </c>
      <c r="C321" s="129" t="s">
        <v>348</v>
      </c>
      <c r="D321" s="129" t="s">
        <v>681</v>
      </c>
      <c r="E321" s="129" t="s">
        <v>779</v>
      </c>
      <c r="F321" s="130">
        <v>23.06</v>
      </c>
      <c r="G321" s="130">
        <v>0</v>
      </c>
      <c r="H321" s="130">
        <f>F321*AE321</f>
        <v>0</v>
      </c>
      <c r="I321" s="130">
        <f>J321-H321</f>
        <v>0</v>
      </c>
      <c r="J321" s="130">
        <f>F321*G321</f>
        <v>0</v>
      </c>
      <c r="K321" s="130">
        <v>0.00378</v>
      </c>
      <c r="L321" s="130">
        <f>F321*K321</f>
        <v>0.08716679999999999</v>
      </c>
      <c r="M321" s="131" t="s">
        <v>803</v>
      </c>
      <c r="P321" s="19">
        <f>IF(AG321="5",J321,0)</f>
        <v>0</v>
      </c>
      <c r="R321" s="19">
        <f>IF(AG321="1",H321,0)</f>
        <v>0</v>
      </c>
      <c r="S321" s="19">
        <f>IF(AG321="1",I321,0)</f>
        <v>0</v>
      </c>
      <c r="T321" s="19">
        <f>IF(AG321="7",H321,0)</f>
        <v>0</v>
      </c>
      <c r="U321" s="19">
        <f>IF(AG321="7",I321,0)</f>
        <v>0</v>
      </c>
      <c r="V321" s="19">
        <f>IF(AG321="2",H321,0)</f>
        <v>0</v>
      </c>
      <c r="W321" s="19">
        <f>IF(AG321="2",I321,0)</f>
        <v>0</v>
      </c>
      <c r="X321" s="19">
        <f>IF(AG321="0",J321,0)</f>
        <v>0</v>
      </c>
      <c r="Y321" s="13" t="s">
        <v>197</v>
      </c>
      <c r="Z321" s="10">
        <f>IF(AD321=0,J321,0)</f>
        <v>0</v>
      </c>
      <c r="AA321" s="10">
        <f>IF(AD321=15,J321,0)</f>
        <v>0</v>
      </c>
      <c r="AB321" s="10">
        <f>IF(AD321=21,J321,0)</f>
        <v>0</v>
      </c>
      <c r="AD321" s="19">
        <v>21</v>
      </c>
      <c r="AE321" s="19">
        <f>G321*0.591447770038973</f>
        <v>0</v>
      </c>
      <c r="AF321" s="19">
        <f>G321*(1-0.591447770038973)</f>
        <v>0</v>
      </c>
      <c r="AG321" s="15" t="s">
        <v>13</v>
      </c>
      <c r="AM321" s="19">
        <f>F321*AE321</f>
        <v>0</v>
      </c>
      <c r="AN321" s="19">
        <f>F321*AF321</f>
        <v>0</v>
      </c>
      <c r="AO321" s="20" t="s">
        <v>837</v>
      </c>
      <c r="AP321" s="20" t="s">
        <v>855</v>
      </c>
      <c r="AQ321" s="13" t="s">
        <v>859</v>
      </c>
      <c r="AS321" s="19">
        <f>AM321+AN321</f>
        <v>0</v>
      </c>
      <c r="AT321" s="19">
        <f>G321/(100-AU321)*100</f>
        <v>0</v>
      </c>
      <c r="AU321" s="19">
        <v>0</v>
      </c>
      <c r="AV321" s="19">
        <f>L321</f>
        <v>0.08716679999999999</v>
      </c>
    </row>
    <row r="322" spans="1:13" ht="12.75">
      <c r="A322" s="132"/>
      <c r="B322" s="132"/>
      <c r="C322" s="132"/>
      <c r="D322" s="133" t="s">
        <v>682</v>
      </c>
      <c r="E322" s="132"/>
      <c r="F322" s="134">
        <v>17</v>
      </c>
      <c r="G322" s="132"/>
      <c r="H322" s="132"/>
      <c r="I322" s="132"/>
      <c r="J322" s="132"/>
      <c r="K322" s="132"/>
      <c r="L322" s="132"/>
      <c r="M322" s="132"/>
    </row>
    <row r="323" spans="1:13" ht="12.75">
      <c r="A323" s="132"/>
      <c r="B323" s="132"/>
      <c r="C323" s="132"/>
      <c r="D323" s="133" t="s">
        <v>683</v>
      </c>
      <c r="E323" s="132"/>
      <c r="F323" s="134">
        <v>6.06</v>
      </c>
      <c r="G323" s="132"/>
      <c r="H323" s="132"/>
      <c r="I323" s="132"/>
      <c r="J323" s="132"/>
      <c r="K323" s="132"/>
      <c r="L323" s="132"/>
      <c r="M323" s="132"/>
    </row>
    <row r="324" spans="1:48" ht="12.75">
      <c r="A324" s="129" t="s">
        <v>148</v>
      </c>
      <c r="B324" s="129" t="s">
        <v>197</v>
      </c>
      <c r="C324" s="129" t="s">
        <v>349</v>
      </c>
      <c r="D324" s="129" t="s">
        <v>684</v>
      </c>
      <c r="E324" s="129" t="s">
        <v>779</v>
      </c>
      <c r="F324" s="130">
        <v>22.06</v>
      </c>
      <c r="G324" s="130">
        <v>0</v>
      </c>
      <c r="H324" s="130">
        <f>F324*AE324</f>
        <v>0</v>
      </c>
      <c r="I324" s="130">
        <f>J324-H324</f>
        <v>0</v>
      </c>
      <c r="J324" s="130">
        <f>F324*G324</f>
        <v>0</v>
      </c>
      <c r="K324" s="130">
        <v>0.00245</v>
      </c>
      <c r="L324" s="130">
        <f>F324*K324</f>
        <v>0.054047</v>
      </c>
      <c r="M324" s="131" t="s">
        <v>803</v>
      </c>
      <c r="P324" s="19">
        <f>IF(AG324="5",J324,0)</f>
        <v>0</v>
      </c>
      <c r="R324" s="19">
        <f>IF(AG324="1",H324,0)</f>
        <v>0</v>
      </c>
      <c r="S324" s="19">
        <f>IF(AG324="1",I324,0)</f>
        <v>0</v>
      </c>
      <c r="T324" s="19">
        <f>IF(AG324="7",H324,0)</f>
        <v>0</v>
      </c>
      <c r="U324" s="19">
        <f>IF(AG324="7",I324,0)</f>
        <v>0</v>
      </c>
      <c r="V324" s="19">
        <f>IF(AG324="2",H324,0)</f>
        <v>0</v>
      </c>
      <c r="W324" s="19">
        <f>IF(AG324="2",I324,0)</f>
        <v>0</v>
      </c>
      <c r="X324" s="19">
        <f>IF(AG324="0",J324,0)</f>
        <v>0</v>
      </c>
      <c r="Y324" s="13" t="s">
        <v>197</v>
      </c>
      <c r="Z324" s="10">
        <f>IF(AD324=0,J324,0)</f>
        <v>0</v>
      </c>
      <c r="AA324" s="10">
        <f>IF(AD324=15,J324,0)</f>
        <v>0</v>
      </c>
      <c r="AB324" s="10">
        <f>IF(AD324=21,J324,0)</f>
        <v>0</v>
      </c>
      <c r="AD324" s="19">
        <v>21</v>
      </c>
      <c r="AE324" s="19">
        <f>G324*0.449492524562153</f>
        <v>0</v>
      </c>
      <c r="AF324" s="19">
        <f>G324*(1-0.449492524562153)</f>
        <v>0</v>
      </c>
      <c r="AG324" s="15" t="s">
        <v>13</v>
      </c>
      <c r="AM324" s="19">
        <f>F324*AE324</f>
        <v>0</v>
      </c>
      <c r="AN324" s="19">
        <f>F324*AF324</f>
        <v>0</v>
      </c>
      <c r="AO324" s="20" t="s">
        <v>837</v>
      </c>
      <c r="AP324" s="20" t="s">
        <v>855</v>
      </c>
      <c r="AQ324" s="13" t="s">
        <v>859</v>
      </c>
      <c r="AS324" s="19">
        <f>AM324+AN324</f>
        <v>0</v>
      </c>
      <c r="AT324" s="19">
        <f>G324/(100-AU324)*100</f>
        <v>0</v>
      </c>
      <c r="AU324" s="19">
        <v>0</v>
      </c>
      <c r="AV324" s="19">
        <f>L324</f>
        <v>0.054047</v>
      </c>
    </row>
    <row r="325" spans="1:13" ht="12.75">
      <c r="A325" s="132"/>
      <c r="B325" s="132"/>
      <c r="C325" s="132"/>
      <c r="D325" s="133" t="s">
        <v>685</v>
      </c>
      <c r="E325" s="132"/>
      <c r="F325" s="134">
        <v>16</v>
      </c>
      <c r="G325" s="132"/>
      <c r="H325" s="132"/>
      <c r="I325" s="132"/>
      <c r="J325" s="132"/>
      <c r="K325" s="132"/>
      <c r="L325" s="132"/>
      <c r="M325" s="132"/>
    </row>
    <row r="326" spans="1:13" ht="12.75">
      <c r="A326" s="132"/>
      <c r="B326" s="132"/>
      <c r="C326" s="132"/>
      <c r="D326" s="133" t="s">
        <v>683</v>
      </c>
      <c r="E326" s="132"/>
      <c r="F326" s="134">
        <v>6.06</v>
      </c>
      <c r="G326" s="132"/>
      <c r="H326" s="132"/>
      <c r="I326" s="132"/>
      <c r="J326" s="132"/>
      <c r="K326" s="132"/>
      <c r="L326" s="132"/>
      <c r="M326" s="132"/>
    </row>
    <row r="327" spans="1:48" ht="12.75">
      <c r="A327" s="129" t="s">
        <v>149</v>
      </c>
      <c r="B327" s="129" t="s">
        <v>197</v>
      </c>
      <c r="C327" s="129" t="s">
        <v>350</v>
      </c>
      <c r="D327" s="129" t="s">
        <v>686</v>
      </c>
      <c r="E327" s="129" t="s">
        <v>779</v>
      </c>
      <c r="F327" s="130">
        <v>8.65</v>
      </c>
      <c r="G327" s="130">
        <v>0</v>
      </c>
      <c r="H327" s="130">
        <f>F327*AE327</f>
        <v>0</v>
      </c>
      <c r="I327" s="130">
        <f>J327-H327</f>
        <v>0</v>
      </c>
      <c r="J327" s="130">
        <f>F327*G327</f>
        <v>0</v>
      </c>
      <c r="K327" s="130">
        <v>0.00261</v>
      </c>
      <c r="L327" s="130">
        <f>F327*K327</f>
        <v>0.0225765</v>
      </c>
      <c r="M327" s="131" t="s">
        <v>803</v>
      </c>
      <c r="P327" s="19">
        <f>IF(AG327="5",J327,0)</f>
        <v>0</v>
      </c>
      <c r="R327" s="19">
        <f>IF(AG327="1",H327,0)</f>
        <v>0</v>
      </c>
      <c r="S327" s="19">
        <f>IF(AG327="1",I327,0)</f>
        <v>0</v>
      </c>
      <c r="T327" s="19">
        <f>IF(AG327="7",H327,0)</f>
        <v>0</v>
      </c>
      <c r="U327" s="19">
        <f>IF(AG327="7",I327,0)</f>
        <v>0</v>
      </c>
      <c r="V327" s="19">
        <f>IF(AG327="2",H327,0)</f>
        <v>0</v>
      </c>
      <c r="W327" s="19">
        <f>IF(AG327="2",I327,0)</f>
        <v>0</v>
      </c>
      <c r="X327" s="19">
        <f>IF(AG327="0",J327,0)</f>
        <v>0</v>
      </c>
      <c r="Y327" s="13" t="s">
        <v>197</v>
      </c>
      <c r="Z327" s="10">
        <f>IF(AD327=0,J327,0)</f>
        <v>0</v>
      </c>
      <c r="AA327" s="10">
        <f>IF(AD327=15,J327,0)</f>
        <v>0</v>
      </c>
      <c r="AB327" s="10">
        <f>IF(AD327=21,J327,0)</f>
        <v>0</v>
      </c>
      <c r="AD327" s="19">
        <v>21</v>
      </c>
      <c r="AE327" s="19">
        <f>G327*0.700669758844967</f>
        <v>0</v>
      </c>
      <c r="AF327" s="19">
        <f>G327*(1-0.700669758844967)</f>
        <v>0</v>
      </c>
      <c r="AG327" s="15" t="s">
        <v>13</v>
      </c>
      <c r="AM327" s="19">
        <f>F327*AE327</f>
        <v>0</v>
      </c>
      <c r="AN327" s="19">
        <f>F327*AF327</f>
        <v>0</v>
      </c>
      <c r="AO327" s="20" t="s">
        <v>837</v>
      </c>
      <c r="AP327" s="20" t="s">
        <v>855</v>
      </c>
      <c r="AQ327" s="13" t="s">
        <v>859</v>
      </c>
      <c r="AS327" s="19">
        <f>AM327+AN327</f>
        <v>0</v>
      </c>
      <c r="AT327" s="19">
        <f>G327/(100-AU327)*100</f>
        <v>0</v>
      </c>
      <c r="AU327" s="19">
        <v>0</v>
      </c>
      <c r="AV327" s="19">
        <f>L327</f>
        <v>0.0225765</v>
      </c>
    </row>
    <row r="328" spans="1:13" ht="12.75">
      <c r="A328" s="132"/>
      <c r="B328" s="132"/>
      <c r="C328" s="132"/>
      <c r="D328" s="133" t="s">
        <v>687</v>
      </c>
      <c r="E328" s="132"/>
      <c r="F328" s="134">
        <v>8.65</v>
      </c>
      <c r="G328" s="132"/>
      <c r="H328" s="132"/>
      <c r="I328" s="132"/>
      <c r="J328" s="132"/>
      <c r="K328" s="132"/>
      <c r="L328" s="132"/>
      <c r="M328" s="132"/>
    </row>
    <row r="329" spans="1:48" ht="12.75">
      <c r="A329" s="129" t="s">
        <v>150</v>
      </c>
      <c r="B329" s="129" t="s">
        <v>197</v>
      </c>
      <c r="C329" s="129" t="s">
        <v>351</v>
      </c>
      <c r="D329" s="129" t="s">
        <v>688</v>
      </c>
      <c r="E329" s="129" t="s">
        <v>777</v>
      </c>
      <c r="F329" s="130">
        <v>1</v>
      </c>
      <c r="G329" s="130">
        <v>0</v>
      </c>
      <c r="H329" s="130">
        <f>F329*AE329</f>
        <v>0</v>
      </c>
      <c r="I329" s="130">
        <f>J329-H329</f>
        <v>0</v>
      </c>
      <c r="J329" s="130">
        <f>F329*G329</f>
        <v>0</v>
      </c>
      <c r="K329" s="130">
        <v>0.00048</v>
      </c>
      <c r="L329" s="130">
        <f>F329*K329</f>
        <v>0.00048</v>
      </c>
      <c r="M329" s="131" t="s">
        <v>803</v>
      </c>
      <c r="P329" s="19">
        <f>IF(AG329="5",J329,0)</f>
        <v>0</v>
      </c>
      <c r="R329" s="19">
        <f>IF(AG329="1",H329,0)</f>
        <v>0</v>
      </c>
      <c r="S329" s="19">
        <f>IF(AG329="1",I329,0)</f>
        <v>0</v>
      </c>
      <c r="T329" s="19">
        <f>IF(AG329="7",H329,0)</f>
        <v>0</v>
      </c>
      <c r="U329" s="19">
        <f>IF(AG329="7",I329,0)</f>
        <v>0</v>
      </c>
      <c r="V329" s="19">
        <f>IF(AG329="2",H329,0)</f>
        <v>0</v>
      </c>
      <c r="W329" s="19">
        <f>IF(AG329="2",I329,0)</f>
        <v>0</v>
      </c>
      <c r="X329" s="19">
        <f>IF(AG329="0",J329,0)</f>
        <v>0</v>
      </c>
      <c r="Y329" s="13" t="s">
        <v>197</v>
      </c>
      <c r="Z329" s="10">
        <f>IF(AD329=0,J329,0)</f>
        <v>0</v>
      </c>
      <c r="AA329" s="10">
        <f>IF(AD329=15,J329,0)</f>
        <v>0</v>
      </c>
      <c r="AB329" s="10">
        <f>IF(AD329=21,J329,0)</f>
        <v>0</v>
      </c>
      <c r="AD329" s="19">
        <v>21</v>
      </c>
      <c r="AE329" s="19">
        <f>G329*0.711244509516837</f>
        <v>0</v>
      </c>
      <c r="AF329" s="19">
        <f>G329*(1-0.711244509516837)</f>
        <v>0</v>
      </c>
      <c r="AG329" s="15" t="s">
        <v>13</v>
      </c>
      <c r="AM329" s="19">
        <f>F329*AE329</f>
        <v>0</v>
      </c>
      <c r="AN329" s="19">
        <f>F329*AF329</f>
        <v>0</v>
      </c>
      <c r="AO329" s="20" t="s">
        <v>837</v>
      </c>
      <c r="AP329" s="20" t="s">
        <v>855</v>
      </c>
      <c r="AQ329" s="13" t="s">
        <v>859</v>
      </c>
      <c r="AS329" s="19">
        <f>AM329+AN329</f>
        <v>0</v>
      </c>
      <c r="AT329" s="19">
        <f>G329/(100-AU329)*100</f>
        <v>0</v>
      </c>
      <c r="AU329" s="19">
        <v>0</v>
      </c>
      <c r="AV329" s="19">
        <f>L329</f>
        <v>0.00048</v>
      </c>
    </row>
    <row r="330" spans="1:48" ht="12.75">
      <c r="A330" s="129" t="s">
        <v>151</v>
      </c>
      <c r="B330" s="129" t="s">
        <v>197</v>
      </c>
      <c r="C330" s="129" t="s">
        <v>352</v>
      </c>
      <c r="D330" s="129" t="s">
        <v>689</v>
      </c>
      <c r="E330" s="129" t="s">
        <v>779</v>
      </c>
      <c r="F330" s="130">
        <v>3.25</v>
      </c>
      <c r="G330" s="130">
        <v>0</v>
      </c>
      <c r="H330" s="130">
        <f>F330*AE330</f>
        <v>0</v>
      </c>
      <c r="I330" s="130">
        <f>J330-H330</f>
        <v>0</v>
      </c>
      <c r="J330" s="130">
        <f>F330*G330</f>
        <v>0</v>
      </c>
      <c r="K330" s="130">
        <v>0.00159</v>
      </c>
      <c r="L330" s="130">
        <f>F330*K330</f>
        <v>0.0051675</v>
      </c>
      <c r="M330" s="131" t="s">
        <v>803</v>
      </c>
      <c r="P330" s="19">
        <f>IF(AG330="5",J330,0)</f>
        <v>0</v>
      </c>
      <c r="R330" s="19">
        <f>IF(AG330="1",H330,0)</f>
        <v>0</v>
      </c>
      <c r="S330" s="19">
        <f>IF(AG330="1",I330,0)</f>
        <v>0</v>
      </c>
      <c r="T330" s="19">
        <f>IF(AG330="7",H330,0)</f>
        <v>0</v>
      </c>
      <c r="U330" s="19">
        <f>IF(AG330="7",I330,0)</f>
        <v>0</v>
      </c>
      <c r="V330" s="19">
        <f>IF(AG330="2",H330,0)</f>
        <v>0</v>
      </c>
      <c r="W330" s="19">
        <f>IF(AG330="2",I330,0)</f>
        <v>0</v>
      </c>
      <c r="X330" s="19">
        <f>IF(AG330="0",J330,0)</f>
        <v>0</v>
      </c>
      <c r="Y330" s="13" t="s">
        <v>197</v>
      </c>
      <c r="Z330" s="10">
        <f>IF(AD330=0,J330,0)</f>
        <v>0</v>
      </c>
      <c r="AA330" s="10">
        <f>IF(AD330=15,J330,0)</f>
        <v>0</v>
      </c>
      <c r="AB330" s="10">
        <f>IF(AD330=21,J330,0)</f>
        <v>0</v>
      </c>
      <c r="AD330" s="19">
        <v>21</v>
      </c>
      <c r="AE330" s="19">
        <f>G330*0.686953085304579</f>
        <v>0</v>
      </c>
      <c r="AF330" s="19">
        <f>G330*(1-0.686953085304579)</f>
        <v>0</v>
      </c>
      <c r="AG330" s="15" t="s">
        <v>13</v>
      </c>
      <c r="AM330" s="19">
        <f>F330*AE330</f>
        <v>0</v>
      </c>
      <c r="AN330" s="19">
        <f>F330*AF330</f>
        <v>0</v>
      </c>
      <c r="AO330" s="20" t="s">
        <v>837</v>
      </c>
      <c r="AP330" s="20" t="s">
        <v>855</v>
      </c>
      <c r="AQ330" s="13" t="s">
        <v>859</v>
      </c>
      <c r="AS330" s="19">
        <f>AM330+AN330</f>
        <v>0</v>
      </c>
      <c r="AT330" s="19">
        <f>G330/(100-AU330)*100</f>
        <v>0</v>
      </c>
      <c r="AU330" s="19">
        <v>0</v>
      </c>
      <c r="AV330" s="19">
        <f>L330</f>
        <v>0.0051675</v>
      </c>
    </row>
    <row r="331" spans="1:13" ht="12.75">
      <c r="A331" s="132"/>
      <c r="B331" s="132"/>
      <c r="C331" s="132"/>
      <c r="D331" s="133" t="s">
        <v>690</v>
      </c>
      <c r="E331" s="132"/>
      <c r="F331" s="134">
        <v>3.25</v>
      </c>
      <c r="G331" s="132"/>
      <c r="H331" s="132"/>
      <c r="I331" s="132"/>
      <c r="J331" s="132"/>
      <c r="K331" s="132"/>
      <c r="L331" s="132"/>
      <c r="M331" s="132"/>
    </row>
    <row r="332" spans="1:48" ht="12.75">
      <c r="A332" s="129" t="s">
        <v>152</v>
      </c>
      <c r="B332" s="129" t="s">
        <v>197</v>
      </c>
      <c r="C332" s="129" t="s">
        <v>353</v>
      </c>
      <c r="D332" s="129" t="s">
        <v>691</v>
      </c>
      <c r="E332" s="129" t="s">
        <v>778</v>
      </c>
      <c r="F332" s="130">
        <v>0.26</v>
      </c>
      <c r="G332" s="130">
        <v>0</v>
      </c>
      <c r="H332" s="130">
        <f>F332*AE332</f>
        <v>0</v>
      </c>
      <c r="I332" s="130">
        <f>J332-H332</f>
        <v>0</v>
      </c>
      <c r="J332" s="130">
        <f>F332*G332</f>
        <v>0</v>
      </c>
      <c r="K332" s="130">
        <v>0</v>
      </c>
      <c r="L332" s="130">
        <f>F332*K332</f>
        <v>0</v>
      </c>
      <c r="M332" s="131" t="s">
        <v>803</v>
      </c>
      <c r="P332" s="19">
        <f>IF(AG332="5",J332,0)</f>
        <v>0</v>
      </c>
      <c r="R332" s="19">
        <f>IF(AG332="1",H332,0)</f>
        <v>0</v>
      </c>
      <c r="S332" s="19">
        <f>IF(AG332="1",I332,0)</f>
        <v>0</v>
      </c>
      <c r="T332" s="19">
        <f>IF(AG332="7",H332,0)</f>
        <v>0</v>
      </c>
      <c r="U332" s="19">
        <f>IF(AG332="7",I332,0)</f>
        <v>0</v>
      </c>
      <c r="V332" s="19">
        <f>IF(AG332="2",H332,0)</f>
        <v>0</v>
      </c>
      <c r="W332" s="19">
        <f>IF(AG332="2",I332,0)</f>
        <v>0</v>
      </c>
      <c r="X332" s="19">
        <f>IF(AG332="0",J332,0)</f>
        <v>0</v>
      </c>
      <c r="Y332" s="13" t="s">
        <v>197</v>
      </c>
      <c r="Z332" s="10">
        <f>IF(AD332=0,J332,0)</f>
        <v>0</v>
      </c>
      <c r="AA332" s="10">
        <f>IF(AD332=15,J332,0)</f>
        <v>0</v>
      </c>
      <c r="AB332" s="10">
        <f>IF(AD332=21,J332,0)</f>
        <v>0</v>
      </c>
      <c r="AD332" s="19">
        <v>21</v>
      </c>
      <c r="AE332" s="19">
        <f>G332*0</f>
        <v>0</v>
      </c>
      <c r="AF332" s="19">
        <f>G332*(1-0)</f>
        <v>0</v>
      </c>
      <c r="AG332" s="15" t="s">
        <v>11</v>
      </c>
      <c r="AM332" s="19">
        <f>F332*AE332</f>
        <v>0</v>
      </c>
      <c r="AN332" s="19">
        <f>F332*AF332</f>
        <v>0</v>
      </c>
      <c r="AO332" s="20" t="s">
        <v>837</v>
      </c>
      <c r="AP332" s="20" t="s">
        <v>855</v>
      </c>
      <c r="AQ332" s="13" t="s">
        <v>859</v>
      </c>
      <c r="AS332" s="19">
        <f>AM332+AN332</f>
        <v>0</v>
      </c>
      <c r="AT332" s="19">
        <f>G332/(100-AU332)*100</f>
        <v>0</v>
      </c>
      <c r="AU332" s="19">
        <v>0</v>
      </c>
      <c r="AV332" s="19">
        <f>L332</f>
        <v>0</v>
      </c>
    </row>
    <row r="333" spans="1:37" ht="12.75">
      <c r="A333" s="125"/>
      <c r="B333" s="126" t="s">
        <v>197</v>
      </c>
      <c r="C333" s="126" t="s">
        <v>354</v>
      </c>
      <c r="D333" s="126" t="s">
        <v>692</v>
      </c>
      <c r="E333" s="125" t="s">
        <v>6</v>
      </c>
      <c r="F333" s="125" t="s">
        <v>6</v>
      </c>
      <c r="G333" s="125" t="s">
        <v>6</v>
      </c>
      <c r="H333" s="127">
        <f>SUM(H334:H347)</f>
        <v>0</v>
      </c>
      <c r="I333" s="127">
        <f>SUM(I334:I347)</f>
        <v>0</v>
      </c>
      <c r="J333" s="127">
        <f>H333+I333</f>
        <v>0</v>
      </c>
      <c r="K333" s="128"/>
      <c r="L333" s="127">
        <f>SUM(L334:L347)</f>
        <v>0.15407</v>
      </c>
      <c r="M333" s="128"/>
      <c r="Y333" s="13" t="s">
        <v>197</v>
      </c>
      <c r="AI333" s="22">
        <f>SUM(Z334:Z347)</f>
        <v>0</v>
      </c>
      <c r="AJ333" s="22">
        <f>SUM(AA334:AA347)</f>
        <v>0</v>
      </c>
      <c r="AK333" s="22">
        <f>SUM(AB334:AB347)</f>
        <v>0</v>
      </c>
    </row>
    <row r="334" spans="1:48" ht="12.75">
      <c r="A334" s="129" t="s">
        <v>153</v>
      </c>
      <c r="B334" s="129" t="s">
        <v>197</v>
      </c>
      <c r="C334" s="129" t="s">
        <v>355</v>
      </c>
      <c r="D334" s="129" t="s">
        <v>693</v>
      </c>
      <c r="E334" s="129" t="s">
        <v>777</v>
      </c>
      <c r="F334" s="130">
        <v>2</v>
      </c>
      <c r="G334" s="130">
        <v>0</v>
      </c>
      <c r="H334" s="130">
        <f aca="true" t="shared" si="60" ref="H334:H347">F334*AE334</f>
        <v>0</v>
      </c>
      <c r="I334" s="130">
        <f aca="true" t="shared" si="61" ref="I334:I347">J334-H334</f>
        <v>0</v>
      </c>
      <c r="J334" s="130">
        <f aca="true" t="shared" si="62" ref="J334:J347">F334*G334</f>
        <v>0</v>
      </c>
      <c r="K334" s="130">
        <v>0</v>
      </c>
      <c r="L334" s="130">
        <f aca="true" t="shared" si="63" ref="L334:L347">F334*K334</f>
        <v>0</v>
      </c>
      <c r="M334" s="131" t="s">
        <v>803</v>
      </c>
      <c r="P334" s="19">
        <f aca="true" t="shared" si="64" ref="P334:P347">IF(AG334="5",J334,0)</f>
        <v>0</v>
      </c>
      <c r="R334" s="19">
        <f aca="true" t="shared" si="65" ref="R334:R347">IF(AG334="1",H334,0)</f>
        <v>0</v>
      </c>
      <c r="S334" s="19">
        <f aca="true" t="shared" si="66" ref="S334:S347">IF(AG334="1",I334,0)</f>
        <v>0</v>
      </c>
      <c r="T334" s="19">
        <f aca="true" t="shared" si="67" ref="T334:T347">IF(AG334="7",H334,0)</f>
        <v>0</v>
      </c>
      <c r="U334" s="19">
        <f aca="true" t="shared" si="68" ref="U334:U347">IF(AG334="7",I334,0)</f>
        <v>0</v>
      </c>
      <c r="V334" s="19">
        <f aca="true" t="shared" si="69" ref="V334:V347">IF(AG334="2",H334,0)</f>
        <v>0</v>
      </c>
      <c r="W334" s="19">
        <f aca="true" t="shared" si="70" ref="W334:W347">IF(AG334="2",I334,0)</f>
        <v>0</v>
      </c>
      <c r="X334" s="19">
        <f aca="true" t="shared" si="71" ref="X334:X347">IF(AG334="0",J334,0)</f>
        <v>0</v>
      </c>
      <c r="Y334" s="13" t="s">
        <v>197</v>
      </c>
      <c r="Z334" s="10">
        <f aca="true" t="shared" si="72" ref="Z334:Z347">IF(AD334=0,J334,0)</f>
        <v>0</v>
      </c>
      <c r="AA334" s="10">
        <f aca="true" t="shared" si="73" ref="AA334:AA347">IF(AD334=15,J334,0)</f>
        <v>0</v>
      </c>
      <c r="AB334" s="10">
        <f aca="true" t="shared" si="74" ref="AB334:AB347">IF(AD334=21,J334,0)</f>
        <v>0</v>
      </c>
      <c r="AD334" s="19">
        <v>21</v>
      </c>
      <c r="AE334" s="19">
        <f>G334*0</f>
        <v>0</v>
      </c>
      <c r="AF334" s="19">
        <f>G334*(1-0)</f>
        <v>0</v>
      </c>
      <c r="AG334" s="15" t="s">
        <v>13</v>
      </c>
      <c r="AM334" s="19">
        <f aca="true" t="shared" si="75" ref="AM334:AM347">F334*AE334</f>
        <v>0</v>
      </c>
      <c r="AN334" s="19">
        <f aca="true" t="shared" si="76" ref="AN334:AN347">F334*AF334</f>
        <v>0</v>
      </c>
      <c r="AO334" s="20" t="s">
        <v>838</v>
      </c>
      <c r="AP334" s="20" t="s">
        <v>855</v>
      </c>
      <c r="AQ334" s="13" t="s">
        <v>859</v>
      </c>
      <c r="AS334" s="19">
        <f aca="true" t="shared" si="77" ref="AS334:AS347">AM334+AN334</f>
        <v>0</v>
      </c>
      <c r="AT334" s="19">
        <f aca="true" t="shared" si="78" ref="AT334:AT347">G334/(100-AU334)*100</f>
        <v>0</v>
      </c>
      <c r="AU334" s="19">
        <v>0</v>
      </c>
      <c r="AV334" s="19">
        <f aca="true" t="shared" si="79" ref="AV334:AV347">L334</f>
        <v>0</v>
      </c>
    </row>
    <row r="335" spans="1:48" ht="12.75">
      <c r="A335" s="129" t="s">
        <v>154</v>
      </c>
      <c r="B335" s="129" t="s">
        <v>197</v>
      </c>
      <c r="C335" s="129" t="s">
        <v>356</v>
      </c>
      <c r="D335" s="129" t="s">
        <v>694</v>
      </c>
      <c r="E335" s="129" t="s">
        <v>784</v>
      </c>
      <c r="F335" s="130">
        <v>2</v>
      </c>
      <c r="G335" s="130">
        <v>0</v>
      </c>
      <c r="H335" s="130">
        <f t="shared" si="60"/>
        <v>0</v>
      </c>
      <c r="I335" s="130">
        <f t="shared" si="61"/>
        <v>0</v>
      </c>
      <c r="J335" s="130">
        <f t="shared" si="62"/>
        <v>0</v>
      </c>
      <c r="K335" s="130">
        <v>0</v>
      </c>
      <c r="L335" s="130">
        <f t="shared" si="63"/>
        <v>0</v>
      </c>
      <c r="M335" s="131" t="s">
        <v>804</v>
      </c>
      <c r="P335" s="19">
        <f t="shared" si="64"/>
        <v>0</v>
      </c>
      <c r="R335" s="19">
        <f t="shared" si="65"/>
        <v>0</v>
      </c>
      <c r="S335" s="19">
        <f t="shared" si="66"/>
        <v>0</v>
      </c>
      <c r="T335" s="19">
        <f t="shared" si="67"/>
        <v>0</v>
      </c>
      <c r="U335" s="19">
        <f t="shared" si="68"/>
        <v>0</v>
      </c>
      <c r="V335" s="19">
        <f t="shared" si="69"/>
        <v>0</v>
      </c>
      <c r="W335" s="19">
        <f t="shared" si="70"/>
        <v>0</v>
      </c>
      <c r="X335" s="19">
        <f t="shared" si="71"/>
        <v>0</v>
      </c>
      <c r="Y335" s="13" t="s">
        <v>197</v>
      </c>
      <c r="Z335" s="10">
        <f t="shared" si="72"/>
        <v>0</v>
      </c>
      <c r="AA335" s="10">
        <f t="shared" si="73"/>
        <v>0</v>
      </c>
      <c r="AB335" s="10">
        <f t="shared" si="74"/>
        <v>0</v>
      </c>
      <c r="AD335" s="19">
        <v>21</v>
      </c>
      <c r="AE335" s="19">
        <f>G335*0</f>
        <v>0</v>
      </c>
      <c r="AF335" s="19">
        <f>G335*(1-0)</f>
        <v>0</v>
      </c>
      <c r="AG335" s="15" t="s">
        <v>13</v>
      </c>
      <c r="AM335" s="19">
        <f t="shared" si="75"/>
        <v>0</v>
      </c>
      <c r="AN335" s="19">
        <f t="shared" si="76"/>
        <v>0</v>
      </c>
      <c r="AO335" s="20" t="s">
        <v>838</v>
      </c>
      <c r="AP335" s="20" t="s">
        <v>855</v>
      </c>
      <c r="AQ335" s="13" t="s">
        <v>859</v>
      </c>
      <c r="AS335" s="19">
        <f t="shared" si="77"/>
        <v>0</v>
      </c>
      <c r="AT335" s="19">
        <f t="shared" si="78"/>
        <v>0</v>
      </c>
      <c r="AU335" s="19">
        <v>0</v>
      </c>
      <c r="AV335" s="19">
        <f t="shared" si="79"/>
        <v>0</v>
      </c>
    </row>
    <row r="336" spans="1:48" ht="12.75">
      <c r="A336" s="135" t="s">
        <v>155</v>
      </c>
      <c r="B336" s="135" t="s">
        <v>197</v>
      </c>
      <c r="C336" s="135" t="s">
        <v>357</v>
      </c>
      <c r="D336" s="135" t="s">
        <v>695</v>
      </c>
      <c r="E336" s="135" t="s">
        <v>777</v>
      </c>
      <c r="F336" s="136">
        <v>2</v>
      </c>
      <c r="G336" s="136">
        <v>0</v>
      </c>
      <c r="H336" s="136">
        <f t="shared" si="60"/>
        <v>0</v>
      </c>
      <c r="I336" s="136">
        <f t="shared" si="61"/>
        <v>0</v>
      </c>
      <c r="J336" s="136">
        <f t="shared" si="62"/>
        <v>0</v>
      </c>
      <c r="K336" s="136">
        <v>0.017</v>
      </c>
      <c r="L336" s="136">
        <f t="shared" si="63"/>
        <v>0.034</v>
      </c>
      <c r="M336" s="137" t="s">
        <v>803</v>
      </c>
      <c r="P336" s="19">
        <f t="shared" si="64"/>
        <v>0</v>
      </c>
      <c r="R336" s="19">
        <f t="shared" si="65"/>
        <v>0</v>
      </c>
      <c r="S336" s="19">
        <f t="shared" si="66"/>
        <v>0</v>
      </c>
      <c r="T336" s="19">
        <f t="shared" si="67"/>
        <v>0</v>
      </c>
      <c r="U336" s="19">
        <f t="shared" si="68"/>
        <v>0</v>
      </c>
      <c r="V336" s="19">
        <f t="shared" si="69"/>
        <v>0</v>
      </c>
      <c r="W336" s="19">
        <f t="shared" si="70"/>
        <v>0</v>
      </c>
      <c r="X336" s="19">
        <f t="shared" si="71"/>
        <v>0</v>
      </c>
      <c r="Y336" s="13" t="s">
        <v>197</v>
      </c>
      <c r="Z336" s="11">
        <f t="shared" si="72"/>
        <v>0</v>
      </c>
      <c r="AA336" s="11">
        <f t="shared" si="73"/>
        <v>0</v>
      </c>
      <c r="AB336" s="11">
        <f t="shared" si="74"/>
        <v>0</v>
      </c>
      <c r="AD336" s="19">
        <v>21</v>
      </c>
      <c r="AE336" s="19">
        <f>G336*1</f>
        <v>0</v>
      </c>
      <c r="AF336" s="19">
        <f>G336*(1-1)</f>
        <v>0</v>
      </c>
      <c r="AG336" s="16" t="s">
        <v>13</v>
      </c>
      <c r="AM336" s="19">
        <f t="shared" si="75"/>
        <v>0</v>
      </c>
      <c r="AN336" s="19">
        <f t="shared" si="76"/>
        <v>0</v>
      </c>
      <c r="AO336" s="20" t="s">
        <v>838</v>
      </c>
      <c r="AP336" s="20" t="s">
        <v>855</v>
      </c>
      <c r="AQ336" s="13" t="s">
        <v>859</v>
      </c>
      <c r="AS336" s="19">
        <f t="shared" si="77"/>
        <v>0</v>
      </c>
      <c r="AT336" s="19">
        <f t="shared" si="78"/>
        <v>0</v>
      </c>
      <c r="AU336" s="19">
        <v>0</v>
      </c>
      <c r="AV336" s="19">
        <f t="shared" si="79"/>
        <v>0.034</v>
      </c>
    </row>
    <row r="337" spans="1:48" ht="12.75">
      <c r="A337" s="129" t="s">
        <v>156</v>
      </c>
      <c r="B337" s="129" t="s">
        <v>197</v>
      </c>
      <c r="C337" s="129" t="s">
        <v>358</v>
      </c>
      <c r="D337" s="129" t="s">
        <v>696</v>
      </c>
      <c r="E337" s="129" t="s">
        <v>777</v>
      </c>
      <c r="F337" s="130">
        <v>4</v>
      </c>
      <c r="G337" s="130">
        <v>0</v>
      </c>
      <c r="H337" s="130">
        <f t="shared" si="60"/>
        <v>0</v>
      </c>
      <c r="I337" s="130">
        <f t="shared" si="61"/>
        <v>0</v>
      </c>
      <c r="J337" s="130">
        <f t="shared" si="62"/>
        <v>0</v>
      </c>
      <c r="K337" s="130">
        <v>0.0009</v>
      </c>
      <c r="L337" s="130">
        <f t="shared" si="63"/>
        <v>0.0036</v>
      </c>
      <c r="M337" s="131" t="s">
        <v>803</v>
      </c>
      <c r="P337" s="19">
        <f t="shared" si="64"/>
        <v>0</v>
      </c>
      <c r="R337" s="19">
        <f t="shared" si="65"/>
        <v>0</v>
      </c>
      <c r="S337" s="19">
        <f t="shared" si="66"/>
        <v>0</v>
      </c>
      <c r="T337" s="19">
        <f t="shared" si="67"/>
        <v>0</v>
      </c>
      <c r="U337" s="19">
        <f t="shared" si="68"/>
        <v>0</v>
      </c>
      <c r="V337" s="19">
        <f t="shared" si="69"/>
        <v>0</v>
      </c>
      <c r="W337" s="19">
        <f t="shared" si="70"/>
        <v>0</v>
      </c>
      <c r="X337" s="19">
        <f t="shared" si="71"/>
        <v>0</v>
      </c>
      <c r="Y337" s="13" t="s">
        <v>197</v>
      </c>
      <c r="Z337" s="10">
        <f t="shared" si="72"/>
        <v>0</v>
      </c>
      <c r="AA337" s="10">
        <f t="shared" si="73"/>
        <v>0</v>
      </c>
      <c r="AB337" s="10">
        <f t="shared" si="74"/>
        <v>0</v>
      </c>
      <c r="AD337" s="19">
        <v>21</v>
      </c>
      <c r="AE337" s="19">
        <f>G337*0.071163967611336</f>
        <v>0</v>
      </c>
      <c r="AF337" s="19">
        <f>G337*(1-0.071163967611336)</f>
        <v>0</v>
      </c>
      <c r="AG337" s="15" t="s">
        <v>13</v>
      </c>
      <c r="AM337" s="19">
        <f t="shared" si="75"/>
        <v>0</v>
      </c>
      <c r="AN337" s="19">
        <f t="shared" si="76"/>
        <v>0</v>
      </c>
      <c r="AO337" s="20" t="s">
        <v>838</v>
      </c>
      <c r="AP337" s="20" t="s">
        <v>855</v>
      </c>
      <c r="AQ337" s="13" t="s">
        <v>859</v>
      </c>
      <c r="AS337" s="19">
        <f t="shared" si="77"/>
        <v>0</v>
      </c>
      <c r="AT337" s="19">
        <f t="shared" si="78"/>
        <v>0</v>
      </c>
      <c r="AU337" s="19">
        <v>0</v>
      </c>
      <c r="AV337" s="19">
        <f t="shared" si="79"/>
        <v>0.0036</v>
      </c>
    </row>
    <row r="338" spans="1:48" ht="12.75">
      <c r="A338" s="129" t="s">
        <v>157</v>
      </c>
      <c r="B338" s="129" t="s">
        <v>197</v>
      </c>
      <c r="C338" s="129" t="s">
        <v>359</v>
      </c>
      <c r="D338" s="129" t="s">
        <v>697</v>
      </c>
      <c r="E338" s="129" t="s">
        <v>777</v>
      </c>
      <c r="F338" s="130">
        <v>1</v>
      </c>
      <c r="G338" s="130">
        <v>0</v>
      </c>
      <c r="H338" s="130">
        <f t="shared" si="60"/>
        <v>0</v>
      </c>
      <c r="I338" s="130">
        <f t="shared" si="61"/>
        <v>0</v>
      </c>
      <c r="J338" s="130">
        <f t="shared" si="62"/>
        <v>0</v>
      </c>
      <c r="K338" s="130">
        <v>0.0012</v>
      </c>
      <c r="L338" s="130">
        <f t="shared" si="63"/>
        <v>0.0012</v>
      </c>
      <c r="M338" s="131" t="s">
        <v>803</v>
      </c>
      <c r="P338" s="19">
        <f t="shared" si="64"/>
        <v>0</v>
      </c>
      <c r="R338" s="19">
        <f t="shared" si="65"/>
        <v>0</v>
      </c>
      <c r="S338" s="19">
        <f t="shared" si="66"/>
        <v>0</v>
      </c>
      <c r="T338" s="19">
        <f t="shared" si="67"/>
        <v>0</v>
      </c>
      <c r="U338" s="19">
        <f t="shared" si="68"/>
        <v>0</v>
      </c>
      <c r="V338" s="19">
        <f t="shared" si="69"/>
        <v>0</v>
      </c>
      <c r="W338" s="19">
        <f t="shared" si="70"/>
        <v>0</v>
      </c>
      <c r="X338" s="19">
        <f t="shared" si="71"/>
        <v>0</v>
      </c>
      <c r="Y338" s="13" t="s">
        <v>197</v>
      </c>
      <c r="Z338" s="10">
        <f t="shared" si="72"/>
        <v>0</v>
      </c>
      <c r="AA338" s="10">
        <f t="shared" si="73"/>
        <v>0</v>
      </c>
      <c r="AB338" s="10">
        <f t="shared" si="74"/>
        <v>0</v>
      </c>
      <c r="AD338" s="19">
        <v>21</v>
      </c>
      <c r="AE338" s="19">
        <f>G338*0.0780489864864865</f>
        <v>0</v>
      </c>
      <c r="AF338" s="19">
        <f>G338*(1-0.0780489864864865)</f>
        <v>0</v>
      </c>
      <c r="AG338" s="15" t="s">
        <v>13</v>
      </c>
      <c r="AM338" s="19">
        <f t="shared" si="75"/>
        <v>0</v>
      </c>
      <c r="AN338" s="19">
        <f t="shared" si="76"/>
        <v>0</v>
      </c>
      <c r="AO338" s="20" t="s">
        <v>838</v>
      </c>
      <c r="AP338" s="20" t="s">
        <v>855</v>
      </c>
      <c r="AQ338" s="13" t="s">
        <v>859</v>
      </c>
      <c r="AS338" s="19">
        <f t="shared" si="77"/>
        <v>0</v>
      </c>
      <c r="AT338" s="19">
        <f t="shared" si="78"/>
        <v>0</v>
      </c>
      <c r="AU338" s="19">
        <v>0</v>
      </c>
      <c r="AV338" s="19">
        <f t="shared" si="79"/>
        <v>0.0012</v>
      </c>
    </row>
    <row r="339" spans="1:48" ht="12.75">
      <c r="A339" s="135" t="s">
        <v>158</v>
      </c>
      <c r="B339" s="135" t="s">
        <v>197</v>
      </c>
      <c r="C339" s="135" t="s">
        <v>360</v>
      </c>
      <c r="D339" s="135" t="s">
        <v>698</v>
      </c>
      <c r="E339" s="135" t="s">
        <v>777</v>
      </c>
      <c r="F339" s="136">
        <v>4</v>
      </c>
      <c r="G339" s="136">
        <v>0</v>
      </c>
      <c r="H339" s="136">
        <f t="shared" si="60"/>
        <v>0</v>
      </c>
      <c r="I339" s="136">
        <f t="shared" si="61"/>
        <v>0</v>
      </c>
      <c r="J339" s="136">
        <f t="shared" si="62"/>
        <v>0</v>
      </c>
      <c r="K339" s="136">
        <v>0.0109</v>
      </c>
      <c r="L339" s="136">
        <f t="shared" si="63"/>
        <v>0.0436</v>
      </c>
      <c r="M339" s="137" t="s">
        <v>803</v>
      </c>
      <c r="P339" s="19">
        <f t="shared" si="64"/>
        <v>0</v>
      </c>
      <c r="R339" s="19">
        <f t="shared" si="65"/>
        <v>0</v>
      </c>
      <c r="S339" s="19">
        <f t="shared" si="66"/>
        <v>0</v>
      </c>
      <c r="T339" s="19">
        <f t="shared" si="67"/>
        <v>0</v>
      </c>
      <c r="U339" s="19">
        <f t="shared" si="68"/>
        <v>0</v>
      </c>
      <c r="V339" s="19">
        <f t="shared" si="69"/>
        <v>0</v>
      </c>
      <c r="W339" s="19">
        <f t="shared" si="70"/>
        <v>0</v>
      </c>
      <c r="X339" s="19">
        <f t="shared" si="71"/>
        <v>0</v>
      </c>
      <c r="Y339" s="13" t="s">
        <v>197</v>
      </c>
      <c r="Z339" s="11">
        <f t="shared" si="72"/>
        <v>0</v>
      </c>
      <c r="AA339" s="11">
        <f t="shared" si="73"/>
        <v>0</v>
      </c>
      <c r="AB339" s="11">
        <f t="shared" si="74"/>
        <v>0</v>
      </c>
      <c r="AD339" s="19">
        <v>21</v>
      </c>
      <c r="AE339" s="19">
        <f>G339*1</f>
        <v>0</v>
      </c>
      <c r="AF339" s="19">
        <f>G339*(1-1)</f>
        <v>0</v>
      </c>
      <c r="AG339" s="16" t="s">
        <v>13</v>
      </c>
      <c r="AM339" s="19">
        <f t="shared" si="75"/>
        <v>0</v>
      </c>
      <c r="AN339" s="19">
        <f t="shared" si="76"/>
        <v>0</v>
      </c>
      <c r="AO339" s="20" t="s">
        <v>838</v>
      </c>
      <c r="AP339" s="20" t="s">
        <v>855</v>
      </c>
      <c r="AQ339" s="13" t="s">
        <v>859</v>
      </c>
      <c r="AS339" s="19">
        <f t="shared" si="77"/>
        <v>0</v>
      </c>
      <c r="AT339" s="19">
        <f t="shared" si="78"/>
        <v>0</v>
      </c>
      <c r="AU339" s="19">
        <v>0</v>
      </c>
      <c r="AV339" s="19">
        <f t="shared" si="79"/>
        <v>0.0436</v>
      </c>
    </row>
    <row r="340" spans="1:48" ht="12.75">
      <c r="A340" s="135" t="s">
        <v>159</v>
      </c>
      <c r="B340" s="135" t="s">
        <v>197</v>
      </c>
      <c r="C340" s="135" t="s">
        <v>361</v>
      </c>
      <c r="D340" s="135" t="s">
        <v>699</v>
      </c>
      <c r="E340" s="135" t="s">
        <v>777</v>
      </c>
      <c r="F340" s="136">
        <v>1</v>
      </c>
      <c r="G340" s="136">
        <v>0</v>
      </c>
      <c r="H340" s="136">
        <f t="shared" si="60"/>
        <v>0</v>
      </c>
      <c r="I340" s="136">
        <f t="shared" si="61"/>
        <v>0</v>
      </c>
      <c r="J340" s="136">
        <f t="shared" si="62"/>
        <v>0</v>
      </c>
      <c r="K340" s="136">
        <v>0.062</v>
      </c>
      <c r="L340" s="136">
        <f t="shared" si="63"/>
        <v>0.062</v>
      </c>
      <c r="M340" s="137" t="s">
        <v>803</v>
      </c>
      <c r="P340" s="19">
        <f t="shared" si="64"/>
        <v>0</v>
      </c>
      <c r="R340" s="19">
        <f t="shared" si="65"/>
        <v>0</v>
      </c>
      <c r="S340" s="19">
        <f t="shared" si="66"/>
        <v>0</v>
      </c>
      <c r="T340" s="19">
        <f t="shared" si="67"/>
        <v>0</v>
      </c>
      <c r="U340" s="19">
        <f t="shared" si="68"/>
        <v>0</v>
      </c>
      <c r="V340" s="19">
        <f t="shared" si="69"/>
        <v>0</v>
      </c>
      <c r="W340" s="19">
        <f t="shared" si="70"/>
        <v>0</v>
      </c>
      <c r="X340" s="19">
        <f t="shared" si="71"/>
        <v>0</v>
      </c>
      <c r="Y340" s="13" t="s">
        <v>197</v>
      </c>
      <c r="Z340" s="11">
        <f t="shared" si="72"/>
        <v>0</v>
      </c>
      <c r="AA340" s="11">
        <f t="shared" si="73"/>
        <v>0</v>
      </c>
      <c r="AB340" s="11">
        <f t="shared" si="74"/>
        <v>0</v>
      </c>
      <c r="AD340" s="19">
        <v>21</v>
      </c>
      <c r="AE340" s="19">
        <f>G340*1</f>
        <v>0</v>
      </c>
      <c r="AF340" s="19">
        <f>G340*(1-1)</f>
        <v>0</v>
      </c>
      <c r="AG340" s="16" t="s">
        <v>13</v>
      </c>
      <c r="AM340" s="19">
        <f t="shared" si="75"/>
        <v>0</v>
      </c>
      <c r="AN340" s="19">
        <f t="shared" si="76"/>
        <v>0</v>
      </c>
      <c r="AO340" s="20" t="s">
        <v>838</v>
      </c>
      <c r="AP340" s="20" t="s">
        <v>855</v>
      </c>
      <c r="AQ340" s="13" t="s">
        <v>859</v>
      </c>
      <c r="AS340" s="19">
        <f t="shared" si="77"/>
        <v>0</v>
      </c>
      <c r="AT340" s="19">
        <f t="shared" si="78"/>
        <v>0</v>
      </c>
      <c r="AU340" s="19">
        <v>0</v>
      </c>
      <c r="AV340" s="19">
        <f t="shared" si="79"/>
        <v>0.062</v>
      </c>
    </row>
    <row r="341" spans="1:48" ht="12.75">
      <c r="A341" s="129" t="s">
        <v>160</v>
      </c>
      <c r="B341" s="129" t="s">
        <v>197</v>
      </c>
      <c r="C341" s="129" t="s">
        <v>362</v>
      </c>
      <c r="D341" s="129" t="s">
        <v>700</v>
      </c>
      <c r="E341" s="129" t="s">
        <v>781</v>
      </c>
      <c r="F341" s="130">
        <v>1</v>
      </c>
      <c r="G341" s="130">
        <v>0</v>
      </c>
      <c r="H341" s="130">
        <f t="shared" si="60"/>
        <v>0</v>
      </c>
      <c r="I341" s="130">
        <f t="shared" si="61"/>
        <v>0</v>
      </c>
      <c r="J341" s="130">
        <f t="shared" si="62"/>
        <v>0</v>
      </c>
      <c r="K341" s="130">
        <v>0</v>
      </c>
      <c r="L341" s="130">
        <f t="shared" si="63"/>
        <v>0</v>
      </c>
      <c r="M341" s="131" t="s">
        <v>803</v>
      </c>
      <c r="P341" s="19">
        <f t="shared" si="64"/>
        <v>0</v>
      </c>
      <c r="R341" s="19">
        <f t="shared" si="65"/>
        <v>0</v>
      </c>
      <c r="S341" s="19">
        <f t="shared" si="66"/>
        <v>0</v>
      </c>
      <c r="T341" s="19">
        <f t="shared" si="67"/>
        <v>0</v>
      </c>
      <c r="U341" s="19">
        <f t="shared" si="68"/>
        <v>0</v>
      </c>
      <c r="V341" s="19">
        <f t="shared" si="69"/>
        <v>0</v>
      </c>
      <c r="W341" s="19">
        <f t="shared" si="70"/>
        <v>0</v>
      </c>
      <c r="X341" s="19">
        <f t="shared" si="71"/>
        <v>0</v>
      </c>
      <c r="Y341" s="13" t="s">
        <v>197</v>
      </c>
      <c r="Z341" s="10">
        <f t="shared" si="72"/>
        <v>0</v>
      </c>
      <c r="AA341" s="10">
        <f t="shared" si="73"/>
        <v>0</v>
      </c>
      <c r="AB341" s="10">
        <f t="shared" si="74"/>
        <v>0</v>
      </c>
      <c r="AD341" s="19">
        <v>21</v>
      </c>
      <c r="AE341" s="19">
        <f aca="true" t="shared" si="80" ref="AE341:AE347">G341*0</f>
        <v>0</v>
      </c>
      <c r="AF341" s="19">
        <f aca="true" t="shared" si="81" ref="AF341:AF347">G341*(1-0)</f>
        <v>0</v>
      </c>
      <c r="AG341" s="15" t="s">
        <v>13</v>
      </c>
      <c r="AM341" s="19">
        <f t="shared" si="75"/>
        <v>0</v>
      </c>
      <c r="AN341" s="19">
        <f t="shared" si="76"/>
        <v>0</v>
      </c>
      <c r="AO341" s="20" t="s">
        <v>838</v>
      </c>
      <c r="AP341" s="20" t="s">
        <v>855</v>
      </c>
      <c r="AQ341" s="13" t="s">
        <v>859</v>
      </c>
      <c r="AS341" s="19">
        <f t="shared" si="77"/>
        <v>0</v>
      </c>
      <c r="AT341" s="19">
        <f t="shared" si="78"/>
        <v>0</v>
      </c>
      <c r="AU341" s="19">
        <v>0</v>
      </c>
      <c r="AV341" s="19">
        <f t="shared" si="79"/>
        <v>0</v>
      </c>
    </row>
    <row r="342" spans="1:48" ht="12.75">
      <c r="A342" s="129" t="s">
        <v>161</v>
      </c>
      <c r="B342" s="129" t="s">
        <v>197</v>
      </c>
      <c r="C342" s="129" t="s">
        <v>363</v>
      </c>
      <c r="D342" s="129" t="s">
        <v>701</v>
      </c>
      <c r="E342" s="129" t="s">
        <v>781</v>
      </c>
      <c r="F342" s="130">
        <v>1</v>
      </c>
      <c r="G342" s="130">
        <v>0</v>
      </c>
      <c r="H342" s="130">
        <f t="shared" si="60"/>
        <v>0</v>
      </c>
      <c r="I342" s="130">
        <f t="shared" si="61"/>
        <v>0</v>
      </c>
      <c r="J342" s="130">
        <f t="shared" si="62"/>
        <v>0</v>
      </c>
      <c r="K342" s="130">
        <v>0</v>
      </c>
      <c r="L342" s="130">
        <f t="shared" si="63"/>
        <v>0</v>
      </c>
      <c r="M342" s="131" t="s">
        <v>803</v>
      </c>
      <c r="P342" s="19">
        <f t="shared" si="64"/>
        <v>0</v>
      </c>
      <c r="R342" s="19">
        <f t="shared" si="65"/>
        <v>0</v>
      </c>
      <c r="S342" s="19">
        <f t="shared" si="66"/>
        <v>0</v>
      </c>
      <c r="T342" s="19">
        <f t="shared" si="67"/>
        <v>0</v>
      </c>
      <c r="U342" s="19">
        <f t="shared" si="68"/>
        <v>0</v>
      </c>
      <c r="V342" s="19">
        <f t="shared" si="69"/>
        <v>0</v>
      </c>
      <c r="W342" s="19">
        <f t="shared" si="70"/>
        <v>0</v>
      </c>
      <c r="X342" s="19">
        <f t="shared" si="71"/>
        <v>0</v>
      </c>
      <c r="Y342" s="13" t="s">
        <v>197</v>
      </c>
      <c r="Z342" s="10">
        <f t="shared" si="72"/>
        <v>0</v>
      </c>
      <c r="AA342" s="10">
        <f t="shared" si="73"/>
        <v>0</v>
      </c>
      <c r="AB342" s="10">
        <f t="shared" si="74"/>
        <v>0</v>
      </c>
      <c r="AD342" s="19">
        <v>21</v>
      </c>
      <c r="AE342" s="19">
        <f t="shared" si="80"/>
        <v>0</v>
      </c>
      <c r="AF342" s="19">
        <f t="shared" si="81"/>
        <v>0</v>
      </c>
      <c r="AG342" s="15" t="s">
        <v>13</v>
      </c>
      <c r="AM342" s="19">
        <f t="shared" si="75"/>
        <v>0</v>
      </c>
      <c r="AN342" s="19">
        <f t="shared" si="76"/>
        <v>0</v>
      </c>
      <c r="AO342" s="20" t="s">
        <v>838</v>
      </c>
      <c r="AP342" s="20" t="s">
        <v>855</v>
      </c>
      <c r="AQ342" s="13" t="s">
        <v>859</v>
      </c>
      <c r="AS342" s="19">
        <f t="shared" si="77"/>
        <v>0</v>
      </c>
      <c r="AT342" s="19">
        <f t="shared" si="78"/>
        <v>0</v>
      </c>
      <c r="AU342" s="19">
        <v>0</v>
      </c>
      <c r="AV342" s="19">
        <f t="shared" si="79"/>
        <v>0</v>
      </c>
    </row>
    <row r="343" spans="1:48" ht="12.75">
      <c r="A343" s="129" t="s">
        <v>162</v>
      </c>
      <c r="B343" s="129" t="s">
        <v>197</v>
      </c>
      <c r="C343" s="129" t="s">
        <v>364</v>
      </c>
      <c r="D343" s="129" t="s">
        <v>702</v>
      </c>
      <c r="E343" s="129" t="s">
        <v>781</v>
      </c>
      <c r="F343" s="130">
        <v>1</v>
      </c>
      <c r="G343" s="130">
        <v>0</v>
      </c>
      <c r="H343" s="130">
        <f t="shared" si="60"/>
        <v>0</v>
      </c>
      <c r="I343" s="130">
        <f t="shared" si="61"/>
        <v>0</v>
      </c>
      <c r="J343" s="130">
        <f t="shared" si="62"/>
        <v>0</v>
      </c>
      <c r="K343" s="130">
        <v>0</v>
      </c>
      <c r="L343" s="130">
        <f t="shared" si="63"/>
        <v>0</v>
      </c>
      <c r="M343" s="131" t="s">
        <v>803</v>
      </c>
      <c r="P343" s="19">
        <f t="shared" si="64"/>
        <v>0</v>
      </c>
      <c r="R343" s="19">
        <f t="shared" si="65"/>
        <v>0</v>
      </c>
      <c r="S343" s="19">
        <f t="shared" si="66"/>
        <v>0</v>
      </c>
      <c r="T343" s="19">
        <f t="shared" si="67"/>
        <v>0</v>
      </c>
      <c r="U343" s="19">
        <f t="shared" si="68"/>
        <v>0</v>
      </c>
      <c r="V343" s="19">
        <f t="shared" si="69"/>
        <v>0</v>
      </c>
      <c r="W343" s="19">
        <f t="shared" si="70"/>
        <v>0</v>
      </c>
      <c r="X343" s="19">
        <f t="shared" si="71"/>
        <v>0</v>
      </c>
      <c r="Y343" s="13" t="s">
        <v>197</v>
      </c>
      <c r="Z343" s="10">
        <f t="shared" si="72"/>
        <v>0</v>
      </c>
      <c r="AA343" s="10">
        <f t="shared" si="73"/>
        <v>0</v>
      </c>
      <c r="AB343" s="10">
        <f t="shared" si="74"/>
        <v>0</v>
      </c>
      <c r="AD343" s="19">
        <v>21</v>
      </c>
      <c r="AE343" s="19">
        <f t="shared" si="80"/>
        <v>0</v>
      </c>
      <c r="AF343" s="19">
        <f t="shared" si="81"/>
        <v>0</v>
      </c>
      <c r="AG343" s="15" t="s">
        <v>13</v>
      </c>
      <c r="AM343" s="19">
        <f t="shared" si="75"/>
        <v>0</v>
      </c>
      <c r="AN343" s="19">
        <f t="shared" si="76"/>
        <v>0</v>
      </c>
      <c r="AO343" s="20" t="s">
        <v>838</v>
      </c>
      <c r="AP343" s="20" t="s">
        <v>855</v>
      </c>
      <c r="AQ343" s="13" t="s">
        <v>859</v>
      </c>
      <c r="AS343" s="19">
        <f t="shared" si="77"/>
        <v>0</v>
      </c>
      <c r="AT343" s="19">
        <f t="shared" si="78"/>
        <v>0</v>
      </c>
      <c r="AU343" s="19">
        <v>0</v>
      </c>
      <c r="AV343" s="19">
        <f t="shared" si="79"/>
        <v>0</v>
      </c>
    </row>
    <row r="344" spans="1:48" ht="12.75">
      <c r="A344" s="129" t="s">
        <v>163</v>
      </c>
      <c r="B344" s="129" t="s">
        <v>197</v>
      </c>
      <c r="C344" s="129" t="s">
        <v>365</v>
      </c>
      <c r="D344" s="129" t="s">
        <v>703</v>
      </c>
      <c r="E344" s="129" t="s">
        <v>781</v>
      </c>
      <c r="F344" s="130">
        <v>1</v>
      </c>
      <c r="G344" s="130">
        <v>0</v>
      </c>
      <c r="H344" s="130">
        <f t="shared" si="60"/>
        <v>0</v>
      </c>
      <c r="I344" s="130">
        <f t="shared" si="61"/>
        <v>0</v>
      </c>
      <c r="J344" s="130">
        <f t="shared" si="62"/>
        <v>0</v>
      </c>
      <c r="K344" s="130">
        <v>0</v>
      </c>
      <c r="L344" s="130">
        <f t="shared" si="63"/>
        <v>0</v>
      </c>
      <c r="M344" s="131" t="s">
        <v>805</v>
      </c>
      <c r="P344" s="19">
        <f t="shared" si="64"/>
        <v>0</v>
      </c>
      <c r="R344" s="19">
        <f t="shared" si="65"/>
        <v>0</v>
      </c>
      <c r="S344" s="19">
        <f t="shared" si="66"/>
        <v>0</v>
      </c>
      <c r="T344" s="19">
        <f t="shared" si="67"/>
        <v>0</v>
      </c>
      <c r="U344" s="19">
        <f t="shared" si="68"/>
        <v>0</v>
      </c>
      <c r="V344" s="19">
        <f t="shared" si="69"/>
        <v>0</v>
      </c>
      <c r="W344" s="19">
        <f t="shared" si="70"/>
        <v>0</v>
      </c>
      <c r="X344" s="19">
        <f t="shared" si="71"/>
        <v>0</v>
      </c>
      <c r="Y344" s="13" t="s">
        <v>197</v>
      </c>
      <c r="Z344" s="10">
        <f t="shared" si="72"/>
        <v>0</v>
      </c>
      <c r="AA344" s="10">
        <f t="shared" si="73"/>
        <v>0</v>
      </c>
      <c r="AB344" s="10">
        <f t="shared" si="74"/>
        <v>0</v>
      </c>
      <c r="AD344" s="19">
        <v>21</v>
      </c>
      <c r="AE344" s="19">
        <f t="shared" si="80"/>
        <v>0</v>
      </c>
      <c r="AF344" s="19">
        <f t="shared" si="81"/>
        <v>0</v>
      </c>
      <c r="AG344" s="15" t="s">
        <v>13</v>
      </c>
      <c r="AM344" s="19">
        <f t="shared" si="75"/>
        <v>0</v>
      </c>
      <c r="AN344" s="19">
        <f t="shared" si="76"/>
        <v>0</v>
      </c>
      <c r="AO344" s="20" t="s">
        <v>838</v>
      </c>
      <c r="AP344" s="20" t="s">
        <v>855</v>
      </c>
      <c r="AQ344" s="13" t="s">
        <v>859</v>
      </c>
      <c r="AS344" s="19">
        <f t="shared" si="77"/>
        <v>0</v>
      </c>
      <c r="AT344" s="19">
        <f t="shared" si="78"/>
        <v>0</v>
      </c>
      <c r="AU344" s="19">
        <v>0</v>
      </c>
      <c r="AV344" s="19">
        <f t="shared" si="79"/>
        <v>0</v>
      </c>
    </row>
    <row r="345" spans="1:48" ht="12.75">
      <c r="A345" s="129" t="s">
        <v>164</v>
      </c>
      <c r="B345" s="129" t="s">
        <v>197</v>
      </c>
      <c r="C345" s="129" t="s">
        <v>366</v>
      </c>
      <c r="D345" s="129" t="s">
        <v>704</v>
      </c>
      <c r="E345" s="129" t="s">
        <v>781</v>
      </c>
      <c r="F345" s="130">
        <v>1</v>
      </c>
      <c r="G345" s="130">
        <v>0</v>
      </c>
      <c r="H345" s="130">
        <f t="shared" si="60"/>
        <v>0</v>
      </c>
      <c r="I345" s="130">
        <f t="shared" si="61"/>
        <v>0</v>
      </c>
      <c r="J345" s="130">
        <f t="shared" si="62"/>
        <v>0</v>
      </c>
      <c r="K345" s="130">
        <v>0.00967</v>
      </c>
      <c r="L345" s="130">
        <f t="shared" si="63"/>
        <v>0.00967</v>
      </c>
      <c r="M345" s="131" t="s">
        <v>804</v>
      </c>
      <c r="P345" s="19">
        <f t="shared" si="64"/>
        <v>0</v>
      </c>
      <c r="R345" s="19">
        <f t="shared" si="65"/>
        <v>0</v>
      </c>
      <c r="S345" s="19">
        <f t="shared" si="66"/>
        <v>0</v>
      </c>
      <c r="T345" s="19">
        <f t="shared" si="67"/>
        <v>0</v>
      </c>
      <c r="U345" s="19">
        <f t="shared" si="68"/>
        <v>0</v>
      </c>
      <c r="V345" s="19">
        <f t="shared" si="69"/>
        <v>0</v>
      </c>
      <c r="W345" s="19">
        <f t="shared" si="70"/>
        <v>0</v>
      </c>
      <c r="X345" s="19">
        <f t="shared" si="71"/>
        <v>0</v>
      </c>
      <c r="Y345" s="13" t="s">
        <v>197</v>
      </c>
      <c r="Z345" s="10">
        <f t="shared" si="72"/>
        <v>0</v>
      </c>
      <c r="AA345" s="10">
        <f t="shared" si="73"/>
        <v>0</v>
      </c>
      <c r="AB345" s="10">
        <f t="shared" si="74"/>
        <v>0</v>
      </c>
      <c r="AD345" s="19">
        <v>21</v>
      </c>
      <c r="AE345" s="19">
        <f t="shared" si="80"/>
        <v>0</v>
      </c>
      <c r="AF345" s="19">
        <f t="shared" si="81"/>
        <v>0</v>
      </c>
      <c r="AG345" s="15" t="s">
        <v>13</v>
      </c>
      <c r="AM345" s="19">
        <f t="shared" si="75"/>
        <v>0</v>
      </c>
      <c r="AN345" s="19">
        <f t="shared" si="76"/>
        <v>0</v>
      </c>
      <c r="AO345" s="20" t="s">
        <v>838</v>
      </c>
      <c r="AP345" s="20" t="s">
        <v>855</v>
      </c>
      <c r="AQ345" s="13" t="s">
        <v>859</v>
      </c>
      <c r="AS345" s="19">
        <f t="shared" si="77"/>
        <v>0</v>
      </c>
      <c r="AT345" s="19">
        <f t="shared" si="78"/>
        <v>0</v>
      </c>
      <c r="AU345" s="19">
        <v>0</v>
      </c>
      <c r="AV345" s="19">
        <f t="shared" si="79"/>
        <v>0.00967</v>
      </c>
    </row>
    <row r="346" spans="1:48" ht="12.75">
      <c r="A346" s="129" t="s">
        <v>165</v>
      </c>
      <c r="B346" s="129" t="s">
        <v>197</v>
      </c>
      <c r="C346" s="129" t="s">
        <v>367</v>
      </c>
      <c r="D346" s="129" t="s">
        <v>705</v>
      </c>
      <c r="E346" s="129" t="s">
        <v>781</v>
      </c>
      <c r="F346" s="130">
        <v>1</v>
      </c>
      <c r="G346" s="130">
        <v>0</v>
      </c>
      <c r="H346" s="130">
        <f t="shared" si="60"/>
        <v>0</v>
      </c>
      <c r="I346" s="130">
        <f t="shared" si="61"/>
        <v>0</v>
      </c>
      <c r="J346" s="130">
        <f t="shared" si="62"/>
        <v>0</v>
      </c>
      <c r="K346" s="130">
        <v>0</v>
      </c>
      <c r="L346" s="130">
        <f t="shared" si="63"/>
        <v>0</v>
      </c>
      <c r="M346" s="131" t="s">
        <v>803</v>
      </c>
      <c r="P346" s="19">
        <f t="shared" si="64"/>
        <v>0</v>
      </c>
      <c r="R346" s="19">
        <f t="shared" si="65"/>
        <v>0</v>
      </c>
      <c r="S346" s="19">
        <f t="shared" si="66"/>
        <v>0</v>
      </c>
      <c r="T346" s="19">
        <f t="shared" si="67"/>
        <v>0</v>
      </c>
      <c r="U346" s="19">
        <f t="shared" si="68"/>
        <v>0</v>
      </c>
      <c r="V346" s="19">
        <f t="shared" si="69"/>
        <v>0</v>
      </c>
      <c r="W346" s="19">
        <f t="shared" si="70"/>
        <v>0</v>
      </c>
      <c r="X346" s="19">
        <f t="shared" si="71"/>
        <v>0</v>
      </c>
      <c r="Y346" s="13" t="s">
        <v>197</v>
      </c>
      <c r="Z346" s="10">
        <f t="shared" si="72"/>
        <v>0</v>
      </c>
      <c r="AA346" s="10">
        <f t="shared" si="73"/>
        <v>0</v>
      </c>
      <c r="AB346" s="10">
        <f t="shared" si="74"/>
        <v>0</v>
      </c>
      <c r="AD346" s="19">
        <v>21</v>
      </c>
      <c r="AE346" s="19">
        <f t="shared" si="80"/>
        <v>0</v>
      </c>
      <c r="AF346" s="19">
        <f t="shared" si="81"/>
        <v>0</v>
      </c>
      <c r="AG346" s="15" t="s">
        <v>13</v>
      </c>
      <c r="AM346" s="19">
        <f t="shared" si="75"/>
        <v>0</v>
      </c>
      <c r="AN346" s="19">
        <f t="shared" si="76"/>
        <v>0</v>
      </c>
      <c r="AO346" s="20" t="s">
        <v>838</v>
      </c>
      <c r="AP346" s="20" t="s">
        <v>855</v>
      </c>
      <c r="AQ346" s="13" t="s">
        <v>859</v>
      </c>
      <c r="AS346" s="19">
        <f t="shared" si="77"/>
        <v>0</v>
      </c>
      <c r="AT346" s="19">
        <f t="shared" si="78"/>
        <v>0</v>
      </c>
      <c r="AU346" s="19">
        <v>0</v>
      </c>
      <c r="AV346" s="19">
        <f t="shared" si="79"/>
        <v>0</v>
      </c>
    </row>
    <row r="347" spans="1:48" ht="12.75">
      <c r="A347" s="129" t="s">
        <v>166</v>
      </c>
      <c r="B347" s="129" t="s">
        <v>197</v>
      </c>
      <c r="C347" s="129" t="s">
        <v>368</v>
      </c>
      <c r="D347" s="129" t="s">
        <v>706</v>
      </c>
      <c r="E347" s="129" t="s">
        <v>783</v>
      </c>
      <c r="F347" s="130">
        <v>728.12</v>
      </c>
      <c r="G347" s="130">
        <v>0</v>
      </c>
      <c r="H347" s="130">
        <f t="shared" si="60"/>
        <v>0</v>
      </c>
      <c r="I347" s="130">
        <f t="shared" si="61"/>
        <v>0</v>
      </c>
      <c r="J347" s="130">
        <f t="shared" si="62"/>
        <v>0</v>
      </c>
      <c r="K347" s="130">
        <v>0</v>
      </c>
      <c r="L347" s="130">
        <f t="shared" si="63"/>
        <v>0</v>
      </c>
      <c r="M347" s="131" t="s">
        <v>803</v>
      </c>
      <c r="P347" s="19">
        <f t="shared" si="64"/>
        <v>0</v>
      </c>
      <c r="R347" s="19">
        <f t="shared" si="65"/>
        <v>0</v>
      </c>
      <c r="S347" s="19">
        <f t="shared" si="66"/>
        <v>0</v>
      </c>
      <c r="T347" s="19">
        <f t="shared" si="67"/>
        <v>0</v>
      </c>
      <c r="U347" s="19">
        <f t="shared" si="68"/>
        <v>0</v>
      </c>
      <c r="V347" s="19">
        <f t="shared" si="69"/>
        <v>0</v>
      </c>
      <c r="W347" s="19">
        <f t="shared" si="70"/>
        <v>0</v>
      </c>
      <c r="X347" s="19">
        <f t="shared" si="71"/>
        <v>0</v>
      </c>
      <c r="Y347" s="13" t="s">
        <v>197</v>
      </c>
      <c r="Z347" s="10">
        <f t="shared" si="72"/>
        <v>0</v>
      </c>
      <c r="AA347" s="10">
        <f t="shared" si="73"/>
        <v>0</v>
      </c>
      <c r="AB347" s="10">
        <f t="shared" si="74"/>
        <v>0</v>
      </c>
      <c r="AD347" s="19">
        <v>21</v>
      </c>
      <c r="AE347" s="19">
        <f t="shared" si="80"/>
        <v>0</v>
      </c>
      <c r="AF347" s="19">
        <f t="shared" si="81"/>
        <v>0</v>
      </c>
      <c r="AG347" s="15" t="s">
        <v>11</v>
      </c>
      <c r="AM347" s="19">
        <f t="shared" si="75"/>
        <v>0</v>
      </c>
      <c r="AN347" s="19">
        <f t="shared" si="76"/>
        <v>0</v>
      </c>
      <c r="AO347" s="20" t="s">
        <v>838</v>
      </c>
      <c r="AP347" s="20" t="s">
        <v>855</v>
      </c>
      <c r="AQ347" s="13" t="s">
        <v>859</v>
      </c>
      <c r="AS347" s="19">
        <f t="shared" si="77"/>
        <v>0</v>
      </c>
      <c r="AT347" s="19">
        <f t="shared" si="78"/>
        <v>0</v>
      </c>
      <c r="AU347" s="19">
        <v>0</v>
      </c>
      <c r="AV347" s="19">
        <f t="shared" si="79"/>
        <v>0</v>
      </c>
    </row>
    <row r="348" spans="1:37" ht="12.75">
      <c r="A348" s="125"/>
      <c r="B348" s="126" t="s">
        <v>197</v>
      </c>
      <c r="C348" s="126" t="s">
        <v>369</v>
      </c>
      <c r="D348" s="126" t="s">
        <v>707</v>
      </c>
      <c r="E348" s="125" t="s">
        <v>6</v>
      </c>
      <c r="F348" s="125" t="s">
        <v>6</v>
      </c>
      <c r="G348" s="125" t="s">
        <v>6</v>
      </c>
      <c r="H348" s="127">
        <f>SUM(H349:H367)</f>
        <v>0</v>
      </c>
      <c r="I348" s="127">
        <f>SUM(I349:I367)</f>
        <v>0</v>
      </c>
      <c r="J348" s="127">
        <f>H348+I348</f>
        <v>0</v>
      </c>
      <c r="K348" s="128"/>
      <c r="L348" s="127">
        <f>SUM(L349:L367)</f>
        <v>0.78836</v>
      </c>
      <c r="M348" s="128"/>
      <c r="Y348" s="13" t="s">
        <v>197</v>
      </c>
      <c r="AI348" s="22">
        <f>SUM(Z349:Z367)</f>
        <v>0</v>
      </c>
      <c r="AJ348" s="22">
        <f>SUM(AA349:AA367)</f>
        <v>0</v>
      </c>
      <c r="AK348" s="22">
        <f>SUM(AB349:AB367)</f>
        <v>0</v>
      </c>
    </row>
    <row r="349" spans="1:48" ht="12.75">
      <c r="A349" s="129" t="s">
        <v>167</v>
      </c>
      <c r="B349" s="129" t="s">
        <v>197</v>
      </c>
      <c r="C349" s="129" t="s">
        <v>370</v>
      </c>
      <c r="D349" s="129" t="s">
        <v>708</v>
      </c>
      <c r="E349" s="129" t="s">
        <v>776</v>
      </c>
      <c r="F349" s="130">
        <v>35.07</v>
      </c>
      <c r="G349" s="130">
        <v>0</v>
      </c>
      <c r="H349" s="130">
        <f>F349*AE349</f>
        <v>0</v>
      </c>
      <c r="I349" s="130">
        <f>J349-H349</f>
        <v>0</v>
      </c>
      <c r="J349" s="130">
        <f>F349*G349</f>
        <v>0</v>
      </c>
      <c r="K349" s="130">
        <v>0.00021</v>
      </c>
      <c r="L349" s="130">
        <f>F349*K349</f>
        <v>0.0073647</v>
      </c>
      <c r="M349" s="131" t="s">
        <v>803</v>
      </c>
      <c r="P349" s="19">
        <f>IF(AG349="5",J349,0)</f>
        <v>0</v>
      </c>
      <c r="R349" s="19">
        <f>IF(AG349="1",H349,0)</f>
        <v>0</v>
      </c>
      <c r="S349" s="19">
        <f>IF(AG349="1",I349,0)</f>
        <v>0</v>
      </c>
      <c r="T349" s="19">
        <f>IF(AG349="7",H349,0)</f>
        <v>0</v>
      </c>
      <c r="U349" s="19">
        <f>IF(AG349="7",I349,0)</f>
        <v>0</v>
      </c>
      <c r="V349" s="19">
        <f>IF(AG349="2",H349,0)</f>
        <v>0</v>
      </c>
      <c r="W349" s="19">
        <f>IF(AG349="2",I349,0)</f>
        <v>0</v>
      </c>
      <c r="X349" s="19">
        <f>IF(AG349="0",J349,0)</f>
        <v>0</v>
      </c>
      <c r="Y349" s="13" t="s">
        <v>197</v>
      </c>
      <c r="Z349" s="10">
        <f>IF(AD349=0,J349,0)</f>
        <v>0</v>
      </c>
      <c r="AA349" s="10">
        <f>IF(AD349=15,J349,0)</f>
        <v>0</v>
      </c>
      <c r="AB349" s="10">
        <f>IF(AD349=21,J349,0)</f>
        <v>0</v>
      </c>
      <c r="AD349" s="19">
        <v>21</v>
      </c>
      <c r="AE349" s="19">
        <f>G349*0.496500411353352</f>
        <v>0</v>
      </c>
      <c r="AF349" s="19">
        <f>G349*(1-0.496500411353352)</f>
        <v>0</v>
      </c>
      <c r="AG349" s="15" t="s">
        <v>13</v>
      </c>
      <c r="AM349" s="19">
        <f>F349*AE349</f>
        <v>0</v>
      </c>
      <c r="AN349" s="19">
        <f>F349*AF349</f>
        <v>0</v>
      </c>
      <c r="AO349" s="20" t="s">
        <v>839</v>
      </c>
      <c r="AP349" s="20" t="s">
        <v>856</v>
      </c>
      <c r="AQ349" s="13" t="s">
        <v>859</v>
      </c>
      <c r="AS349" s="19">
        <f>AM349+AN349</f>
        <v>0</v>
      </c>
      <c r="AT349" s="19">
        <f>G349/(100-AU349)*100</f>
        <v>0</v>
      </c>
      <c r="AU349" s="19">
        <v>0</v>
      </c>
      <c r="AV349" s="19">
        <f>L349</f>
        <v>0.0073647</v>
      </c>
    </row>
    <row r="350" spans="1:13" ht="12.75">
      <c r="A350" s="132"/>
      <c r="B350" s="132"/>
      <c r="C350" s="132"/>
      <c r="D350" s="133" t="s">
        <v>709</v>
      </c>
      <c r="E350" s="132"/>
      <c r="F350" s="134">
        <v>32.73</v>
      </c>
      <c r="G350" s="132"/>
      <c r="H350" s="132"/>
      <c r="I350" s="132"/>
      <c r="J350" s="132"/>
      <c r="K350" s="132"/>
      <c r="L350" s="132"/>
      <c r="M350" s="132"/>
    </row>
    <row r="351" spans="1:13" ht="12.75">
      <c r="A351" s="132"/>
      <c r="B351" s="132"/>
      <c r="C351" s="132"/>
      <c r="D351" s="133" t="s">
        <v>710</v>
      </c>
      <c r="E351" s="132"/>
      <c r="F351" s="134">
        <v>2.34</v>
      </c>
      <c r="G351" s="132"/>
      <c r="H351" s="132"/>
      <c r="I351" s="132"/>
      <c r="J351" s="132"/>
      <c r="K351" s="132"/>
      <c r="L351" s="132"/>
      <c r="M351" s="132"/>
    </row>
    <row r="352" spans="1:48" ht="12.75">
      <c r="A352" s="129" t="s">
        <v>168</v>
      </c>
      <c r="B352" s="129" t="s">
        <v>197</v>
      </c>
      <c r="C352" s="129" t="s">
        <v>371</v>
      </c>
      <c r="D352" s="129" t="s">
        <v>711</v>
      </c>
      <c r="E352" s="129" t="s">
        <v>779</v>
      </c>
      <c r="F352" s="130">
        <v>23.4</v>
      </c>
      <c r="G352" s="130">
        <v>0</v>
      </c>
      <c r="H352" s="130">
        <f>F352*AE352</f>
        <v>0</v>
      </c>
      <c r="I352" s="130">
        <f>J352-H352</f>
        <v>0</v>
      </c>
      <c r="J352" s="130">
        <f>F352*G352</f>
        <v>0</v>
      </c>
      <c r="K352" s="130">
        <v>0.00036</v>
      </c>
      <c r="L352" s="130">
        <f>F352*K352</f>
        <v>0.008424</v>
      </c>
      <c r="M352" s="131" t="s">
        <v>803</v>
      </c>
      <c r="P352" s="19">
        <f>IF(AG352="5",J352,0)</f>
        <v>0</v>
      </c>
      <c r="R352" s="19">
        <f>IF(AG352="1",H352,0)</f>
        <v>0</v>
      </c>
      <c r="S352" s="19">
        <f>IF(AG352="1",I352,0)</f>
        <v>0</v>
      </c>
      <c r="T352" s="19">
        <f>IF(AG352="7",H352,0)</f>
        <v>0</v>
      </c>
      <c r="U352" s="19">
        <f>IF(AG352="7",I352,0)</f>
        <v>0</v>
      </c>
      <c r="V352" s="19">
        <f>IF(AG352="2",H352,0)</f>
        <v>0</v>
      </c>
      <c r="W352" s="19">
        <f>IF(AG352="2",I352,0)</f>
        <v>0</v>
      </c>
      <c r="X352" s="19">
        <f>IF(AG352="0",J352,0)</f>
        <v>0</v>
      </c>
      <c r="Y352" s="13" t="s">
        <v>197</v>
      </c>
      <c r="Z352" s="10">
        <f>IF(AD352=0,J352,0)</f>
        <v>0</v>
      </c>
      <c r="AA352" s="10">
        <f>IF(AD352=15,J352,0)</f>
        <v>0</v>
      </c>
      <c r="AB352" s="10">
        <f>IF(AD352=21,J352,0)</f>
        <v>0</v>
      </c>
      <c r="AD352" s="19">
        <v>21</v>
      </c>
      <c r="AE352" s="19">
        <f>G352*0.146060606060606</f>
        <v>0</v>
      </c>
      <c r="AF352" s="19">
        <f>G352*(1-0.146060606060606)</f>
        <v>0</v>
      </c>
      <c r="AG352" s="15" t="s">
        <v>13</v>
      </c>
      <c r="AM352" s="19">
        <f>F352*AE352</f>
        <v>0</v>
      </c>
      <c r="AN352" s="19">
        <f>F352*AF352</f>
        <v>0</v>
      </c>
      <c r="AO352" s="20" t="s">
        <v>839</v>
      </c>
      <c r="AP352" s="20" t="s">
        <v>856</v>
      </c>
      <c r="AQ352" s="13" t="s">
        <v>859</v>
      </c>
      <c r="AS352" s="19">
        <f>AM352+AN352</f>
        <v>0</v>
      </c>
      <c r="AT352" s="19">
        <f>G352/(100-AU352)*100</f>
        <v>0</v>
      </c>
      <c r="AU352" s="19">
        <v>0</v>
      </c>
      <c r="AV352" s="19">
        <f>L352</f>
        <v>0.008424</v>
      </c>
    </row>
    <row r="353" spans="1:13" ht="12.75">
      <c r="A353" s="132"/>
      <c r="B353" s="132"/>
      <c r="C353" s="132"/>
      <c r="D353" s="133" t="s">
        <v>712</v>
      </c>
      <c r="E353" s="132"/>
      <c r="F353" s="134">
        <v>5.8</v>
      </c>
      <c r="G353" s="132"/>
      <c r="H353" s="132"/>
      <c r="I353" s="132"/>
      <c r="J353" s="132"/>
      <c r="K353" s="132"/>
      <c r="L353" s="132"/>
      <c r="M353" s="132"/>
    </row>
    <row r="354" spans="1:13" ht="12.75">
      <c r="A354" s="132"/>
      <c r="B354" s="132"/>
      <c r="C354" s="132"/>
      <c r="D354" s="133" t="s">
        <v>713</v>
      </c>
      <c r="E354" s="132"/>
      <c r="F354" s="134">
        <v>-0.7</v>
      </c>
      <c r="G354" s="132"/>
      <c r="H354" s="132"/>
      <c r="I354" s="132"/>
      <c r="J354" s="132"/>
      <c r="K354" s="132"/>
      <c r="L354" s="132"/>
      <c r="M354" s="132"/>
    </row>
    <row r="355" spans="1:13" ht="12.75">
      <c r="A355" s="132"/>
      <c r="B355" s="132"/>
      <c r="C355" s="132"/>
      <c r="D355" s="133" t="s">
        <v>714</v>
      </c>
      <c r="E355" s="132"/>
      <c r="F355" s="134">
        <v>11.6</v>
      </c>
      <c r="G355" s="132"/>
      <c r="H355" s="132"/>
      <c r="I355" s="132"/>
      <c r="J355" s="132"/>
      <c r="K355" s="132"/>
      <c r="L355" s="132"/>
      <c r="M355" s="132"/>
    </row>
    <row r="356" spans="1:13" ht="12.75">
      <c r="A356" s="132"/>
      <c r="B356" s="132"/>
      <c r="C356" s="132"/>
      <c r="D356" s="133" t="s">
        <v>715</v>
      </c>
      <c r="E356" s="132"/>
      <c r="F356" s="134">
        <v>-1.5</v>
      </c>
      <c r="G356" s="132"/>
      <c r="H356" s="132"/>
      <c r="I356" s="132"/>
      <c r="J356" s="132"/>
      <c r="K356" s="132"/>
      <c r="L356" s="132"/>
      <c r="M356" s="132"/>
    </row>
    <row r="357" spans="1:13" ht="12.75">
      <c r="A357" s="132"/>
      <c r="B357" s="132"/>
      <c r="C357" s="132"/>
      <c r="D357" s="133" t="s">
        <v>716</v>
      </c>
      <c r="E357" s="132"/>
      <c r="F357" s="134">
        <v>9.1</v>
      </c>
      <c r="G357" s="132"/>
      <c r="H357" s="132"/>
      <c r="I357" s="132"/>
      <c r="J357" s="132"/>
      <c r="K357" s="132"/>
      <c r="L357" s="132"/>
      <c r="M357" s="132"/>
    </row>
    <row r="358" spans="1:13" ht="12.75">
      <c r="A358" s="132"/>
      <c r="B358" s="132"/>
      <c r="C358" s="132"/>
      <c r="D358" s="133" t="s">
        <v>717</v>
      </c>
      <c r="E358" s="132"/>
      <c r="F358" s="134">
        <v>-0.9</v>
      </c>
      <c r="G358" s="132"/>
      <c r="H358" s="132"/>
      <c r="I358" s="132"/>
      <c r="J358" s="132"/>
      <c r="K358" s="132"/>
      <c r="L358" s="132"/>
      <c r="M358" s="132"/>
    </row>
    <row r="359" spans="1:48" ht="12.75">
      <c r="A359" s="129" t="s">
        <v>169</v>
      </c>
      <c r="B359" s="129" t="s">
        <v>197</v>
      </c>
      <c r="C359" s="129" t="s">
        <v>372</v>
      </c>
      <c r="D359" s="129" t="s">
        <v>718</v>
      </c>
      <c r="E359" s="129" t="s">
        <v>776</v>
      </c>
      <c r="F359" s="130">
        <v>32.73</v>
      </c>
      <c r="G359" s="130">
        <v>0</v>
      </c>
      <c r="H359" s="130">
        <f>F359*AE359</f>
        <v>0</v>
      </c>
      <c r="I359" s="130">
        <f>J359-H359</f>
        <v>0</v>
      </c>
      <c r="J359" s="130">
        <f>F359*G359</f>
        <v>0</v>
      </c>
      <c r="K359" s="130">
        <v>0.00373</v>
      </c>
      <c r="L359" s="130">
        <f>F359*K359</f>
        <v>0.12208289999999998</v>
      </c>
      <c r="M359" s="131" t="s">
        <v>803</v>
      </c>
      <c r="P359" s="19">
        <f>IF(AG359="5",J359,0)</f>
        <v>0</v>
      </c>
      <c r="R359" s="19">
        <f>IF(AG359="1",H359,0)</f>
        <v>0</v>
      </c>
      <c r="S359" s="19">
        <f>IF(AG359="1",I359,0)</f>
        <v>0</v>
      </c>
      <c r="T359" s="19">
        <f>IF(AG359="7",H359,0)</f>
        <v>0</v>
      </c>
      <c r="U359" s="19">
        <f>IF(AG359="7",I359,0)</f>
        <v>0</v>
      </c>
      <c r="V359" s="19">
        <f>IF(AG359="2",H359,0)</f>
        <v>0</v>
      </c>
      <c r="W359" s="19">
        <f>IF(AG359="2",I359,0)</f>
        <v>0</v>
      </c>
      <c r="X359" s="19">
        <f>IF(AG359="0",J359,0)</f>
        <v>0</v>
      </c>
      <c r="Y359" s="13" t="s">
        <v>197</v>
      </c>
      <c r="Z359" s="10">
        <f>IF(AD359=0,J359,0)</f>
        <v>0</v>
      </c>
      <c r="AA359" s="10">
        <f>IF(AD359=15,J359,0)</f>
        <v>0</v>
      </c>
      <c r="AB359" s="10">
        <f>IF(AD359=21,J359,0)</f>
        <v>0</v>
      </c>
      <c r="AD359" s="19">
        <v>21</v>
      </c>
      <c r="AE359" s="19">
        <f>G359*0.196666666666667</f>
        <v>0</v>
      </c>
      <c r="AF359" s="19">
        <f>G359*(1-0.196666666666667)</f>
        <v>0</v>
      </c>
      <c r="AG359" s="15" t="s">
        <v>13</v>
      </c>
      <c r="AM359" s="19">
        <f>F359*AE359</f>
        <v>0</v>
      </c>
      <c r="AN359" s="19">
        <f>F359*AF359</f>
        <v>0</v>
      </c>
      <c r="AO359" s="20" t="s">
        <v>839</v>
      </c>
      <c r="AP359" s="20" t="s">
        <v>856</v>
      </c>
      <c r="AQ359" s="13" t="s">
        <v>859</v>
      </c>
      <c r="AS359" s="19">
        <f>AM359+AN359</f>
        <v>0</v>
      </c>
      <c r="AT359" s="19">
        <f>G359/(100-AU359)*100</f>
        <v>0</v>
      </c>
      <c r="AU359" s="19">
        <v>0</v>
      </c>
      <c r="AV359" s="19">
        <f>L359</f>
        <v>0.12208289999999998</v>
      </c>
    </row>
    <row r="360" spans="1:48" ht="12.75">
      <c r="A360" s="129" t="s">
        <v>170</v>
      </c>
      <c r="B360" s="129" t="s">
        <v>197</v>
      </c>
      <c r="C360" s="129" t="s">
        <v>373</v>
      </c>
      <c r="D360" s="129" t="s">
        <v>719</v>
      </c>
      <c r="E360" s="129" t="s">
        <v>779</v>
      </c>
      <c r="F360" s="130">
        <v>38</v>
      </c>
      <c r="G360" s="130">
        <v>0</v>
      </c>
      <c r="H360" s="130">
        <f>F360*AE360</f>
        <v>0</v>
      </c>
      <c r="I360" s="130">
        <f>J360-H360</f>
        <v>0</v>
      </c>
      <c r="J360" s="130">
        <f>F360*G360</f>
        <v>0</v>
      </c>
      <c r="K360" s="130">
        <v>4E-05</v>
      </c>
      <c r="L360" s="130">
        <f>F360*K360</f>
        <v>0.00152</v>
      </c>
      <c r="M360" s="131" t="s">
        <v>803</v>
      </c>
      <c r="P360" s="19">
        <f>IF(AG360="5",J360,0)</f>
        <v>0</v>
      </c>
      <c r="R360" s="19">
        <f>IF(AG360="1",H360,0)</f>
        <v>0</v>
      </c>
      <c r="S360" s="19">
        <f>IF(AG360="1",I360,0)</f>
        <v>0</v>
      </c>
      <c r="T360" s="19">
        <f>IF(AG360="7",H360,0)</f>
        <v>0</v>
      </c>
      <c r="U360" s="19">
        <f>IF(AG360="7",I360,0)</f>
        <v>0</v>
      </c>
      <c r="V360" s="19">
        <f>IF(AG360="2",H360,0)</f>
        <v>0</v>
      </c>
      <c r="W360" s="19">
        <f>IF(AG360="2",I360,0)</f>
        <v>0</v>
      </c>
      <c r="X360" s="19">
        <f>IF(AG360="0",J360,0)</f>
        <v>0</v>
      </c>
      <c r="Y360" s="13" t="s">
        <v>197</v>
      </c>
      <c r="Z360" s="10">
        <f>IF(AD360=0,J360,0)</f>
        <v>0</v>
      </c>
      <c r="AA360" s="10">
        <f>IF(AD360=15,J360,0)</f>
        <v>0</v>
      </c>
      <c r="AB360" s="10">
        <f>IF(AD360=21,J360,0)</f>
        <v>0</v>
      </c>
      <c r="AD360" s="19">
        <v>21</v>
      </c>
      <c r="AE360" s="19">
        <f>G360*0.364035087719298</f>
        <v>0</v>
      </c>
      <c r="AF360" s="19">
        <f>G360*(1-0.364035087719298)</f>
        <v>0</v>
      </c>
      <c r="AG360" s="15" t="s">
        <v>13</v>
      </c>
      <c r="AM360" s="19">
        <f>F360*AE360</f>
        <v>0</v>
      </c>
      <c r="AN360" s="19">
        <f>F360*AF360</f>
        <v>0</v>
      </c>
      <c r="AO360" s="20" t="s">
        <v>839</v>
      </c>
      <c r="AP360" s="20" t="s">
        <v>856</v>
      </c>
      <c r="AQ360" s="13" t="s">
        <v>859</v>
      </c>
      <c r="AS360" s="19">
        <f>AM360+AN360</f>
        <v>0</v>
      </c>
      <c r="AT360" s="19">
        <f>G360/(100-AU360)*100</f>
        <v>0</v>
      </c>
      <c r="AU360" s="19">
        <v>0</v>
      </c>
      <c r="AV360" s="19">
        <f>L360</f>
        <v>0.00152</v>
      </c>
    </row>
    <row r="361" spans="1:48" ht="12.75">
      <c r="A361" s="129" t="s">
        <v>171</v>
      </c>
      <c r="B361" s="129" t="s">
        <v>197</v>
      </c>
      <c r="C361" s="129" t="s">
        <v>374</v>
      </c>
      <c r="D361" s="129" t="s">
        <v>720</v>
      </c>
      <c r="E361" s="129" t="s">
        <v>776</v>
      </c>
      <c r="F361" s="130">
        <v>4.18</v>
      </c>
      <c r="G361" s="130">
        <v>0</v>
      </c>
      <c r="H361" s="130">
        <f>F361*AE361</f>
        <v>0</v>
      </c>
      <c r="I361" s="130">
        <f>J361-H361</f>
        <v>0</v>
      </c>
      <c r="J361" s="130">
        <f>F361*G361</f>
        <v>0</v>
      </c>
      <c r="K361" s="130">
        <v>0</v>
      </c>
      <c r="L361" s="130">
        <f>F361*K361</f>
        <v>0</v>
      </c>
      <c r="M361" s="131" t="s">
        <v>803</v>
      </c>
      <c r="P361" s="19">
        <f>IF(AG361="5",J361,0)</f>
        <v>0</v>
      </c>
      <c r="R361" s="19">
        <f>IF(AG361="1",H361,0)</f>
        <v>0</v>
      </c>
      <c r="S361" s="19">
        <f>IF(AG361="1",I361,0)</f>
        <v>0</v>
      </c>
      <c r="T361" s="19">
        <f>IF(AG361="7",H361,0)</f>
        <v>0</v>
      </c>
      <c r="U361" s="19">
        <f>IF(AG361="7",I361,0)</f>
        <v>0</v>
      </c>
      <c r="V361" s="19">
        <f>IF(AG361="2",H361,0)</f>
        <v>0</v>
      </c>
      <c r="W361" s="19">
        <f>IF(AG361="2",I361,0)</f>
        <v>0</v>
      </c>
      <c r="X361" s="19">
        <f>IF(AG361="0",J361,0)</f>
        <v>0</v>
      </c>
      <c r="Y361" s="13" t="s">
        <v>197</v>
      </c>
      <c r="Z361" s="10">
        <f>IF(AD361=0,J361,0)</f>
        <v>0</v>
      </c>
      <c r="AA361" s="10">
        <f>IF(AD361=15,J361,0)</f>
        <v>0</v>
      </c>
      <c r="AB361" s="10">
        <f>IF(AD361=21,J361,0)</f>
        <v>0</v>
      </c>
      <c r="AD361" s="19">
        <v>21</v>
      </c>
      <c r="AE361" s="19">
        <f>G361*0</f>
        <v>0</v>
      </c>
      <c r="AF361" s="19">
        <f>G361*(1-0)</f>
        <v>0</v>
      </c>
      <c r="AG361" s="15" t="s">
        <v>13</v>
      </c>
      <c r="AM361" s="19">
        <f>F361*AE361</f>
        <v>0</v>
      </c>
      <c r="AN361" s="19">
        <f>F361*AF361</f>
        <v>0</v>
      </c>
      <c r="AO361" s="20" t="s">
        <v>839</v>
      </c>
      <c r="AP361" s="20" t="s">
        <v>856</v>
      </c>
      <c r="AQ361" s="13" t="s">
        <v>859</v>
      </c>
      <c r="AS361" s="19">
        <f>AM361+AN361</f>
        <v>0</v>
      </c>
      <c r="AT361" s="19">
        <f>G361/(100-AU361)*100</f>
        <v>0</v>
      </c>
      <c r="AU361" s="19">
        <v>0</v>
      </c>
      <c r="AV361" s="19">
        <f>L361</f>
        <v>0</v>
      </c>
    </row>
    <row r="362" spans="1:13" ht="12.75">
      <c r="A362" s="132"/>
      <c r="B362" s="132"/>
      <c r="C362" s="132"/>
      <c r="D362" s="133" t="s">
        <v>721</v>
      </c>
      <c r="E362" s="132"/>
      <c r="F362" s="134">
        <v>1.98</v>
      </c>
      <c r="G362" s="132"/>
      <c r="H362" s="132"/>
      <c r="I362" s="132"/>
      <c r="J362" s="132"/>
      <c r="K362" s="132"/>
      <c r="L362" s="132"/>
      <c r="M362" s="132"/>
    </row>
    <row r="363" spans="1:13" ht="12.75">
      <c r="A363" s="132"/>
      <c r="B363" s="132"/>
      <c r="C363" s="132"/>
      <c r="D363" s="133" t="s">
        <v>722</v>
      </c>
      <c r="E363" s="132"/>
      <c r="F363" s="134">
        <v>2.2</v>
      </c>
      <c r="G363" s="132"/>
      <c r="H363" s="132"/>
      <c r="I363" s="132"/>
      <c r="J363" s="132"/>
      <c r="K363" s="132"/>
      <c r="L363" s="132"/>
      <c r="M363" s="132"/>
    </row>
    <row r="364" spans="1:48" ht="12.75">
      <c r="A364" s="129" t="s">
        <v>172</v>
      </c>
      <c r="B364" s="129" t="s">
        <v>197</v>
      </c>
      <c r="C364" s="129" t="s">
        <v>375</v>
      </c>
      <c r="D364" s="129" t="s">
        <v>723</v>
      </c>
      <c r="E364" s="129" t="s">
        <v>776</v>
      </c>
      <c r="F364" s="130">
        <v>32.73</v>
      </c>
      <c r="G364" s="130">
        <v>0</v>
      </c>
      <c r="H364" s="130">
        <f>F364*AE364</f>
        <v>0</v>
      </c>
      <c r="I364" s="130">
        <f>J364-H364</f>
        <v>0</v>
      </c>
      <c r="J364" s="130">
        <f>F364*G364</f>
        <v>0</v>
      </c>
      <c r="K364" s="130">
        <v>0.0008</v>
      </c>
      <c r="L364" s="130">
        <f>F364*K364</f>
        <v>0.026184</v>
      </c>
      <c r="M364" s="131" t="s">
        <v>803</v>
      </c>
      <c r="P364" s="19">
        <f>IF(AG364="5",J364,0)</f>
        <v>0</v>
      </c>
      <c r="R364" s="19">
        <f>IF(AG364="1",H364,0)</f>
        <v>0</v>
      </c>
      <c r="S364" s="19">
        <f>IF(AG364="1",I364,0)</f>
        <v>0</v>
      </c>
      <c r="T364" s="19">
        <f>IF(AG364="7",H364,0)</f>
        <v>0</v>
      </c>
      <c r="U364" s="19">
        <f>IF(AG364="7",I364,0)</f>
        <v>0</v>
      </c>
      <c r="V364" s="19">
        <f>IF(AG364="2",H364,0)</f>
        <v>0</v>
      </c>
      <c r="W364" s="19">
        <f>IF(AG364="2",I364,0)</f>
        <v>0</v>
      </c>
      <c r="X364" s="19">
        <f>IF(AG364="0",J364,0)</f>
        <v>0</v>
      </c>
      <c r="Y364" s="13" t="s">
        <v>197</v>
      </c>
      <c r="Z364" s="10">
        <f>IF(AD364=0,J364,0)</f>
        <v>0</v>
      </c>
      <c r="AA364" s="10">
        <f>IF(AD364=15,J364,0)</f>
        <v>0</v>
      </c>
      <c r="AB364" s="10">
        <f>IF(AD364=21,J364,0)</f>
        <v>0</v>
      </c>
      <c r="AD364" s="19">
        <v>21</v>
      </c>
      <c r="AE364" s="19">
        <f>G364*0.999929023298874</f>
        <v>0</v>
      </c>
      <c r="AF364" s="19">
        <f>G364*(1-0.999929023298874)</f>
        <v>0</v>
      </c>
      <c r="AG364" s="15" t="s">
        <v>13</v>
      </c>
      <c r="AM364" s="19">
        <f>F364*AE364</f>
        <v>0</v>
      </c>
      <c r="AN364" s="19">
        <f>F364*AF364</f>
        <v>0</v>
      </c>
      <c r="AO364" s="20" t="s">
        <v>839</v>
      </c>
      <c r="AP364" s="20" t="s">
        <v>856</v>
      </c>
      <c r="AQ364" s="13" t="s">
        <v>859</v>
      </c>
      <c r="AS364" s="19">
        <f>AM364+AN364</f>
        <v>0</v>
      </c>
      <c r="AT364" s="19">
        <f>G364/(100-AU364)*100</f>
        <v>0</v>
      </c>
      <c r="AU364" s="19">
        <v>0</v>
      </c>
      <c r="AV364" s="19">
        <f>L364</f>
        <v>0.026184</v>
      </c>
    </row>
    <row r="365" spans="1:48" ht="12.75">
      <c r="A365" s="135" t="s">
        <v>173</v>
      </c>
      <c r="B365" s="135" t="s">
        <v>197</v>
      </c>
      <c r="C365" s="135" t="s">
        <v>376</v>
      </c>
      <c r="D365" s="135" t="s">
        <v>724</v>
      </c>
      <c r="E365" s="135" t="s">
        <v>776</v>
      </c>
      <c r="F365" s="136">
        <v>34.37</v>
      </c>
      <c r="G365" s="136">
        <v>0</v>
      </c>
      <c r="H365" s="136">
        <f>F365*AE365</f>
        <v>0</v>
      </c>
      <c r="I365" s="136">
        <f>J365-H365</f>
        <v>0</v>
      </c>
      <c r="J365" s="136">
        <f>F365*G365</f>
        <v>0</v>
      </c>
      <c r="K365" s="136">
        <v>0.01812</v>
      </c>
      <c r="L365" s="136">
        <f>F365*K365</f>
        <v>0.6227844</v>
      </c>
      <c r="M365" s="137" t="s">
        <v>803</v>
      </c>
      <c r="P365" s="19">
        <f>IF(AG365="5",J365,0)</f>
        <v>0</v>
      </c>
      <c r="R365" s="19">
        <f>IF(AG365="1",H365,0)</f>
        <v>0</v>
      </c>
      <c r="S365" s="19">
        <f>IF(AG365="1",I365,0)</f>
        <v>0</v>
      </c>
      <c r="T365" s="19">
        <f>IF(AG365="7",H365,0)</f>
        <v>0</v>
      </c>
      <c r="U365" s="19">
        <f>IF(AG365="7",I365,0)</f>
        <v>0</v>
      </c>
      <c r="V365" s="19">
        <f>IF(AG365="2",H365,0)</f>
        <v>0</v>
      </c>
      <c r="W365" s="19">
        <f>IF(AG365="2",I365,0)</f>
        <v>0</v>
      </c>
      <c r="X365" s="19">
        <f>IF(AG365="0",J365,0)</f>
        <v>0</v>
      </c>
      <c r="Y365" s="13" t="s">
        <v>197</v>
      </c>
      <c r="Z365" s="11">
        <f>IF(AD365=0,J365,0)</f>
        <v>0</v>
      </c>
      <c r="AA365" s="11">
        <f>IF(AD365=15,J365,0)</f>
        <v>0</v>
      </c>
      <c r="AB365" s="11">
        <f>IF(AD365=21,J365,0)</f>
        <v>0</v>
      </c>
      <c r="AD365" s="19">
        <v>21</v>
      </c>
      <c r="AE365" s="19">
        <f>G365*1</f>
        <v>0</v>
      </c>
      <c r="AF365" s="19">
        <f>G365*(1-1)</f>
        <v>0</v>
      </c>
      <c r="AG365" s="16" t="s">
        <v>13</v>
      </c>
      <c r="AM365" s="19">
        <f>F365*AE365</f>
        <v>0</v>
      </c>
      <c r="AN365" s="19">
        <f>F365*AF365</f>
        <v>0</v>
      </c>
      <c r="AO365" s="20" t="s">
        <v>839</v>
      </c>
      <c r="AP365" s="20" t="s">
        <v>856</v>
      </c>
      <c r="AQ365" s="13" t="s">
        <v>859</v>
      </c>
      <c r="AS365" s="19">
        <f>AM365+AN365</f>
        <v>0</v>
      </c>
      <c r="AT365" s="19">
        <f>G365/(100-AU365)*100</f>
        <v>0</v>
      </c>
      <c r="AU365" s="19">
        <v>0</v>
      </c>
      <c r="AV365" s="19">
        <f>L365</f>
        <v>0.6227844</v>
      </c>
    </row>
    <row r="366" spans="1:13" ht="12.75">
      <c r="A366" s="132"/>
      <c r="B366" s="132"/>
      <c r="C366" s="132"/>
      <c r="D366" s="133" t="s">
        <v>725</v>
      </c>
      <c r="E366" s="132"/>
      <c r="F366" s="134">
        <v>34.37</v>
      </c>
      <c r="G366" s="132"/>
      <c r="H366" s="132"/>
      <c r="I366" s="132"/>
      <c r="J366" s="132"/>
      <c r="K366" s="132"/>
      <c r="L366" s="132"/>
      <c r="M366" s="132"/>
    </row>
    <row r="367" spans="1:48" ht="12.75">
      <c r="A367" s="129" t="s">
        <v>174</v>
      </c>
      <c r="B367" s="129" t="s">
        <v>197</v>
      </c>
      <c r="C367" s="129" t="s">
        <v>377</v>
      </c>
      <c r="D367" s="129" t="s">
        <v>726</v>
      </c>
      <c r="E367" s="129" t="s">
        <v>778</v>
      </c>
      <c r="F367" s="130">
        <v>0.79</v>
      </c>
      <c r="G367" s="130">
        <v>0</v>
      </c>
      <c r="H367" s="130">
        <f>F367*AE367</f>
        <v>0</v>
      </c>
      <c r="I367" s="130">
        <f>J367-H367</f>
        <v>0</v>
      </c>
      <c r="J367" s="130">
        <f>F367*G367</f>
        <v>0</v>
      </c>
      <c r="K367" s="130">
        <v>0</v>
      </c>
      <c r="L367" s="130">
        <f>F367*K367</f>
        <v>0</v>
      </c>
      <c r="M367" s="131" t="s">
        <v>803</v>
      </c>
      <c r="P367" s="19">
        <f>IF(AG367="5",J367,0)</f>
        <v>0</v>
      </c>
      <c r="R367" s="19">
        <f>IF(AG367="1",H367,0)</f>
        <v>0</v>
      </c>
      <c r="S367" s="19">
        <f>IF(AG367="1",I367,0)</f>
        <v>0</v>
      </c>
      <c r="T367" s="19">
        <f>IF(AG367="7",H367,0)</f>
        <v>0</v>
      </c>
      <c r="U367" s="19">
        <f>IF(AG367="7",I367,0)</f>
        <v>0</v>
      </c>
      <c r="V367" s="19">
        <f>IF(AG367="2",H367,0)</f>
        <v>0</v>
      </c>
      <c r="W367" s="19">
        <f>IF(AG367="2",I367,0)</f>
        <v>0</v>
      </c>
      <c r="X367" s="19">
        <f>IF(AG367="0",J367,0)</f>
        <v>0</v>
      </c>
      <c r="Y367" s="13" t="s">
        <v>197</v>
      </c>
      <c r="Z367" s="10">
        <f>IF(AD367=0,J367,0)</f>
        <v>0</v>
      </c>
      <c r="AA367" s="10">
        <f>IF(AD367=15,J367,0)</f>
        <v>0</v>
      </c>
      <c r="AB367" s="10">
        <f>IF(AD367=21,J367,0)</f>
        <v>0</v>
      </c>
      <c r="AD367" s="19">
        <v>21</v>
      </c>
      <c r="AE367" s="19">
        <f>G367*0</f>
        <v>0</v>
      </c>
      <c r="AF367" s="19">
        <f>G367*(1-0)</f>
        <v>0</v>
      </c>
      <c r="AG367" s="15" t="s">
        <v>11</v>
      </c>
      <c r="AM367" s="19">
        <f>F367*AE367</f>
        <v>0</v>
      </c>
      <c r="AN367" s="19">
        <f>F367*AF367</f>
        <v>0</v>
      </c>
      <c r="AO367" s="20" t="s">
        <v>839</v>
      </c>
      <c r="AP367" s="20" t="s">
        <v>856</v>
      </c>
      <c r="AQ367" s="13" t="s">
        <v>859</v>
      </c>
      <c r="AS367" s="19">
        <f>AM367+AN367</f>
        <v>0</v>
      </c>
      <c r="AT367" s="19">
        <f>G367/(100-AU367)*100</f>
        <v>0</v>
      </c>
      <c r="AU367" s="19">
        <v>0</v>
      </c>
      <c r="AV367" s="19">
        <f>L367</f>
        <v>0</v>
      </c>
    </row>
    <row r="368" spans="1:37" ht="12.75">
      <c r="A368" s="125"/>
      <c r="B368" s="126" t="s">
        <v>197</v>
      </c>
      <c r="C368" s="126" t="s">
        <v>378</v>
      </c>
      <c r="D368" s="126" t="s">
        <v>727</v>
      </c>
      <c r="E368" s="125" t="s">
        <v>6</v>
      </c>
      <c r="F368" s="125" t="s">
        <v>6</v>
      </c>
      <c r="G368" s="125" t="s">
        <v>6</v>
      </c>
      <c r="H368" s="127">
        <f>SUM(H369:H382)</f>
        <v>0</v>
      </c>
      <c r="I368" s="127">
        <f>SUM(I369:I382)</f>
        <v>0</v>
      </c>
      <c r="J368" s="127">
        <f>H368+I368</f>
        <v>0</v>
      </c>
      <c r="K368" s="128"/>
      <c r="L368" s="127">
        <f>SUM(L369:L382)</f>
        <v>0.6773746</v>
      </c>
      <c r="M368" s="128"/>
      <c r="Y368" s="13" t="s">
        <v>197</v>
      </c>
      <c r="AI368" s="22">
        <f>SUM(Z369:Z382)</f>
        <v>0</v>
      </c>
      <c r="AJ368" s="22">
        <f>SUM(AA369:AA382)</f>
        <v>0</v>
      </c>
      <c r="AK368" s="22">
        <f>SUM(AB369:AB382)</f>
        <v>0</v>
      </c>
    </row>
    <row r="369" spans="1:48" ht="12.75">
      <c r="A369" s="129" t="s">
        <v>175</v>
      </c>
      <c r="B369" s="129" t="s">
        <v>197</v>
      </c>
      <c r="C369" s="129" t="s">
        <v>379</v>
      </c>
      <c r="D369" s="129" t="s">
        <v>728</v>
      </c>
      <c r="E369" s="129" t="s">
        <v>776</v>
      </c>
      <c r="F369" s="130">
        <v>35.98</v>
      </c>
      <c r="G369" s="130">
        <v>0</v>
      </c>
      <c r="H369" s="130">
        <f>F369*AE369</f>
        <v>0</v>
      </c>
      <c r="I369" s="130">
        <f>J369-H369</f>
        <v>0</v>
      </c>
      <c r="J369" s="130">
        <f>F369*G369</f>
        <v>0</v>
      </c>
      <c r="K369" s="130">
        <v>0.00016</v>
      </c>
      <c r="L369" s="130">
        <f>F369*K369</f>
        <v>0.0057568</v>
      </c>
      <c r="M369" s="131" t="s">
        <v>803</v>
      </c>
      <c r="P369" s="19">
        <f>IF(AG369="5",J369,0)</f>
        <v>0</v>
      </c>
      <c r="R369" s="19">
        <f>IF(AG369="1",H369,0)</f>
        <v>0</v>
      </c>
      <c r="S369" s="19">
        <f>IF(AG369="1",I369,0)</f>
        <v>0</v>
      </c>
      <c r="T369" s="19">
        <f>IF(AG369="7",H369,0)</f>
        <v>0</v>
      </c>
      <c r="U369" s="19">
        <f>IF(AG369="7",I369,0)</f>
        <v>0</v>
      </c>
      <c r="V369" s="19">
        <f>IF(AG369="2",H369,0)</f>
        <v>0</v>
      </c>
      <c r="W369" s="19">
        <f>IF(AG369="2",I369,0)</f>
        <v>0</v>
      </c>
      <c r="X369" s="19">
        <f>IF(AG369="0",J369,0)</f>
        <v>0</v>
      </c>
      <c r="Y369" s="13" t="s">
        <v>197</v>
      </c>
      <c r="Z369" s="10">
        <f>IF(AD369=0,J369,0)</f>
        <v>0</v>
      </c>
      <c r="AA369" s="10">
        <f>IF(AD369=15,J369,0)</f>
        <v>0</v>
      </c>
      <c r="AB369" s="10">
        <f>IF(AD369=21,J369,0)</f>
        <v>0</v>
      </c>
      <c r="AD369" s="19">
        <v>21</v>
      </c>
      <c r="AE369" s="19">
        <f>G369*0.424571144886581</f>
        <v>0</v>
      </c>
      <c r="AF369" s="19">
        <f>G369*(1-0.424571144886581)</f>
        <v>0</v>
      </c>
      <c r="AG369" s="15" t="s">
        <v>13</v>
      </c>
      <c r="AM369" s="19">
        <f>F369*AE369</f>
        <v>0</v>
      </c>
      <c r="AN369" s="19">
        <f>F369*AF369</f>
        <v>0</v>
      </c>
      <c r="AO369" s="20" t="s">
        <v>840</v>
      </c>
      <c r="AP369" s="20" t="s">
        <v>857</v>
      </c>
      <c r="AQ369" s="13" t="s">
        <v>859</v>
      </c>
      <c r="AS369" s="19">
        <f>AM369+AN369</f>
        <v>0</v>
      </c>
      <c r="AT369" s="19">
        <f>G369/(100-AU369)*100</f>
        <v>0</v>
      </c>
      <c r="AU369" s="19">
        <v>0</v>
      </c>
      <c r="AV369" s="19">
        <f>L369</f>
        <v>0.0057568</v>
      </c>
    </row>
    <row r="370" spans="1:13" ht="12.75">
      <c r="A370" s="132"/>
      <c r="B370" s="132"/>
      <c r="C370" s="132"/>
      <c r="D370" s="133" t="s">
        <v>729</v>
      </c>
      <c r="E370" s="132"/>
      <c r="F370" s="134">
        <v>24.45</v>
      </c>
      <c r="G370" s="132"/>
      <c r="H370" s="132"/>
      <c r="I370" s="132"/>
      <c r="J370" s="132"/>
      <c r="K370" s="132"/>
      <c r="L370" s="132"/>
      <c r="M370" s="132"/>
    </row>
    <row r="371" spans="1:13" ht="12.75">
      <c r="A371" s="132"/>
      <c r="B371" s="132"/>
      <c r="C371" s="132"/>
      <c r="D371" s="133" t="s">
        <v>730</v>
      </c>
      <c r="E371" s="132"/>
      <c r="F371" s="134">
        <v>-1.05</v>
      </c>
      <c r="G371" s="132"/>
      <c r="H371" s="132"/>
      <c r="I371" s="132"/>
      <c r="J371" s="132"/>
      <c r="K371" s="132"/>
      <c r="L371" s="132"/>
      <c r="M371" s="132"/>
    </row>
    <row r="372" spans="1:13" ht="12.75">
      <c r="A372" s="132"/>
      <c r="B372" s="132"/>
      <c r="C372" s="132"/>
      <c r="D372" s="133" t="s">
        <v>731</v>
      </c>
      <c r="E372" s="132"/>
      <c r="F372" s="134">
        <v>-1.35</v>
      </c>
      <c r="G372" s="132"/>
      <c r="H372" s="132"/>
      <c r="I372" s="132"/>
      <c r="J372" s="132"/>
      <c r="K372" s="132"/>
      <c r="L372" s="132"/>
      <c r="M372" s="132"/>
    </row>
    <row r="373" spans="1:13" ht="12.75">
      <c r="A373" s="132"/>
      <c r="B373" s="132"/>
      <c r="C373" s="132"/>
      <c r="D373" s="133" t="s">
        <v>732</v>
      </c>
      <c r="E373" s="132"/>
      <c r="F373" s="134">
        <v>-0.75</v>
      </c>
      <c r="G373" s="132"/>
      <c r="H373" s="132"/>
      <c r="I373" s="132"/>
      <c r="J373" s="132"/>
      <c r="K373" s="132"/>
      <c r="L373" s="132"/>
      <c r="M373" s="132"/>
    </row>
    <row r="374" spans="1:13" ht="12.75">
      <c r="A374" s="132"/>
      <c r="B374" s="132"/>
      <c r="C374" s="132"/>
      <c r="D374" s="133" t="s">
        <v>733</v>
      </c>
      <c r="E374" s="132"/>
      <c r="F374" s="134">
        <v>16.4</v>
      </c>
      <c r="G374" s="132"/>
      <c r="H374" s="132"/>
      <c r="I374" s="132"/>
      <c r="J374" s="132"/>
      <c r="K374" s="132"/>
      <c r="L374" s="132"/>
      <c r="M374" s="132"/>
    </row>
    <row r="375" spans="1:13" ht="12.75">
      <c r="A375" s="132"/>
      <c r="B375" s="132"/>
      <c r="C375" s="132"/>
      <c r="D375" s="133" t="s">
        <v>505</v>
      </c>
      <c r="E375" s="132"/>
      <c r="F375" s="134">
        <v>-0.32</v>
      </c>
      <c r="G375" s="132"/>
      <c r="H375" s="132"/>
      <c r="I375" s="132"/>
      <c r="J375" s="132"/>
      <c r="K375" s="132"/>
      <c r="L375" s="132"/>
      <c r="M375" s="132"/>
    </row>
    <row r="376" spans="1:13" ht="12.75">
      <c r="A376" s="132"/>
      <c r="B376" s="132"/>
      <c r="C376" s="132"/>
      <c r="D376" s="133" t="s">
        <v>503</v>
      </c>
      <c r="E376" s="132"/>
      <c r="F376" s="134">
        <v>-1.4</v>
      </c>
      <c r="G376" s="132"/>
      <c r="H376" s="132"/>
      <c r="I376" s="132"/>
      <c r="J376" s="132"/>
      <c r="K376" s="132"/>
      <c r="L376" s="132"/>
      <c r="M376" s="132"/>
    </row>
    <row r="377" spans="1:48" ht="12.75">
      <c r="A377" s="129" t="s">
        <v>176</v>
      </c>
      <c r="B377" s="129" t="s">
        <v>197</v>
      </c>
      <c r="C377" s="129" t="s">
        <v>380</v>
      </c>
      <c r="D377" s="129" t="s">
        <v>734</v>
      </c>
      <c r="E377" s="129" t="s">
        <v>776</v>
      </c>
      <c r="F377" s="130">
        <v>35.98</v>
      </c>
      <c r="G377" s="130">
        <v>0</v>
      </c>
      <c r="H377" s="130">
        <f>F377*AE377</f>
        <v>0</v>
      </c>
      <c r="I377" s="130">
        <f>J377-H377</f>
        <v>0</v>
      </c>
      <c r="J377" s="130">
        <f>F377*G377</f>
        <v>0</v>
      </c>
      <c r="K377" s="130">
        <v>0.00491</v>
      </c>
      <c r="L377" s="130">
        <f>F377*K377</f>
        <v>0.1766618</v>
      </c>
      <c r="M377" s="131" t="s">
        <v>803</v>
      </c>
      <c r="P377" s="19">
        <f>IF(AG377="5",J377,0)</f>
        <v>0</v>
      </c>
      <c r="R377" s="19">
        <f>IF(AG377="1",H377,0)</f>
        <v>0</v>
      </c>
      <c r="S377" s="19">
        <f>IF(AG377="1",I377,0)</f>
        <v>0</v>
      </c>
      <c r="T377" s="19">
        <f>IF(AG377="7",H377,0)</f>
        <v>0</v>
      </c>
      <c r="U377" s="19">
        <f>IF(AG377="7",I377,0)</f>
        <v>0</v>
      </c>
      <c r="V377" s="19">
        <f>IF(AG377="2",H377,0)</f>
        <v>0</v>
      </c>
      <c r="W377" s="19">
        <f>IF(AG377="2",I377,0)</f>
        <v>0</v>
      </c>
      <c r="X377" s="19">
        <f>IF(AG377="0",J377,0)</f>
        <v>0</v>
      </c>
      <c r="Y377" s="13" t="s">
        <v>197</v>
      </c>
      <c r="Z377" s="10">
        <f>IF(AD377=0,J377,0)</f>
        <v>0</v>
      </c>
      <c r="AA377" s="10">
        <f>IF(AD377=15,J377,0)</f>
        <v>0</v>
      </c>
      <c r="AB377" s="10">
        <f>IF(AD377=21,J377,0)</f>
        <v>0</v>
      </c>
      <c r="AD377" s="19">
        <v>21</v>
      </c>
      <c r="AE377" s="19">
        <f>G377*0.14306</f>
        <v>0</v>
      </c>
      <c r="AF377" s="19">
        <f>G377*(1-0.14306)</f>
        <v>0</v>
      </c>
      <c r="AG377" s="15" t="s">
        <v>13</v>
      </c>
      <c r="AM377" s="19">
        <f>F377*AE377</f>
        <v>0</v>
      </c>
      <c r="AN377" s="19">
        <f>F377*AF377</f>
        <v>0</v>
      </c>
      <c r="AO377" s="20" t="s">
        <v>840</v>
      </c>
      <c r="AP377" s="20" t="s">
        <v>857</v>
      </c>
      <c r="AQ377" s="13" t="s">
        <v>859</v>
      </c>
      <c r="AS377" s="19">
        <f>AM377+AN377</f>
        <v>0</v>
      </c>
      <c r="AT377" s="19">
        <f>G377/(100-AU377)*100</f>
        <v>0</v>
      </c>
      <c r="AU377" s="19">
        <v>0</v>
      </c>
      <c r="AV377" s="19">
        <f>L377</f>
        <v>0.1766618</v>
      </c>
    </row>
    <row r="378" spans="1:48" ht="12.75">
      <c r="A378" s="129" t="s">
        <v>177</v>
      </c>
      <c r="B378" s="129" t="s">
        <v>197</v>
      </c>
      <c r="C378" s="129" t="s">
        <v>381</v>
      </c>
      <c r="D378" s="129" t="s">
        <v>735</v>
      </c>
      <c r="E378" s="129" t="s">
        <v>776</v>
      </c>
      <c r="F378" s="130">
        <v>35.98</v>
      </c>
      <c r="G378" s="130">
        <v>0</v>
      </c>
      <c r="H378" s="130">
        <f>F378*AE378</f>
        <v>0</v>
      </c>
      <c r="I378" s="130">
        <f>J378-H378</f>
        <v>0</v>
      </c>
      <c r="J378" s="130">
        <f>F378*G378</f>
        <v>0</v>
      </c>
      <c r="K378" s="130">
        <v>0.0004</v>
      </c>
      <c r="L378" s="130">
        <f>F378*K378</f>
        <v>0.014392</v>
      </c>
      <c r="M378" s="131" t="s">
        <v>803</v>
      </c>
      <c r="P378" s="19">
        <f>IF(AG378="5",J378,0)</f>
        <v>0</v>
      </c>
      <c r="R378" s="19">
        <f>IF(AG378="1",H378,0)</f>
        <v>0</v>
      </c>
      <c r="S378" s="19">
        <f>IF(AG378="1",I378,0)</f>
        <v>0</v>
      </c>
      <c r="T378" s="19">
        <f>IF(AG378="7",H378,0)</f>
        <v>0</v>
      </c>
      <c r="U378" s="19">
        <f>IF(AG378="7",I378,0)</f>
        <v>0</v>
      </c>
      <c r="V378" s="19">
        <f>IF(AG378="2",H378,0)</f>
        <v>0</v>
      </c>
      <c r="W378" s="19">
        <f>IF(AG378="2",I378,0)</f>
        <v>0</v>
      </c>
      <c r="X378" s="19">
        <f>IF(AG378="0",J378,0)</f>
        <v>0</v>
      </c>
      <c r="Y378" s="13" t="s">
        <v>197</v>
      </c>
      <c r="Z378" s="10">
        <f>IF(AD378=0,J378,0)</f>
        <v>0</v>
      </c>
      <c r="AA378" s="10">
        <f>IF(AD378=15,J378,0)</f>
        <v>0</v>
      </c>
      <c r="AB378" s="10">
        <f>IF(AD378=21,J378,0)</f>
        <v>0</v>
      </c>
      <c r="AD378" s="19">
        <v>21</v>
      </c>
      <c r="AE378" s="19">
        <f>G378*0.999911256422233</f>
        <v>0</v>
      </c>
      <c r="AF378" s="19">
        <f>G378*(1-0.999911256422233)</f>
        <v>0</v>
      </c>
      <c r="AG378" s="15" t="s">
        <v>13</v>
      </c>
      <c r="AM378" s="19">
        <f>F378*AE378</f>
        <v>0</v>
      </c>
      <c r="AN378" s="19">
        <f>F378*AF378</f>
        <v>0</v>
      </c>
      <c r="AO378" s="20" t="s">
        <v>840</v>
      </c>
      <c r="AP378" s="20" t="s">
        <v>857</v>
      </c>
      <c r="AQ378" s="13" t="s">
        <v>859</v>
      </c>
      <c r="AS378" s="19">
        <f>AM378+AN378</f>
        <v>0</v>
      </c>
      <c r="AT378" s="19">
        <f>G378/(100-AU378)*100</f>
        <v>0</v>
      </c>
      <c r="AU378" s="19">
        <v>0</v>
      </c>
      <c r="AV378" s="19">
        <f>L378</f>
        <v>0.014392</v>
      </c>
    </row>
    <row r="379" spans="1:48" ht="12.75">
      <c r="A379" s="129" t="s">
        <v>178</v>
      </c>
      <c r="B379" s="129" t="s">
        <v>197</v>
      </c>
      <c r="C379" s="129" t="s">
        <v>382</v>
      </c>
      <c r="D379" s="129" t="s">
        <v>736</v>
      </c>
      <c r="E379" s="129" t="s">
        <v>779</v>
      </c>
      <c r="F379" s="130">
        <v>27</v>
      </c>
      <c r="G379" s="130">
        <v>0</v>
      </c>
      <c r="H379" s="130">
        <f>F379*AE379</f>
        <v>0</v>
      </c>
      <c r="I379" s="130">
        <f>J379-H379</f>
        <v>0</v>
      </c>
      <c r="J379" s="130">
        <f>F379*G379</f>
        <v>0</v>
      </c>
      <c r="K379" s="130">
        <v>0</v>
      </c>
      <c r="L379" s="130">
        <f>F379*K379</f>
        <v>0</v>
      </c>
      <c r="M379" s="131" t="s">
        <v>803</v>
      </c>
      <c r="P379" s="19">
        <f>IF(AG379="5",J379,0)</f>
        <v>0</v>
      </c>
      <c r="R379" s="19">
        <f>IF(AG379="1",H379,0)</f>
        <v>0</v>
      </c>
      <c r="S379" s="19">
        <f>IF(AG379="1",I379,0)</f>
        <v>0</v>
      </c>
      <c r="T379" s="19">
        <f>IF(AG379="7",H379,0)</f>
        <v>0</v>
      </c>
      <c r="U379" s="19">
        <f>IF(AG379="7",I379,0)</f>
        <v>0</v>
      </c>
      <c r="V379" s="19">
        <f>IF(AG379="2",H379,0)</f>
        <v>0</v>
      </c>
      <c r="W379" s="19">
        <f>IF(AG379="2",I379,0)</f>
        <v>0</v>
      </c>
      <c r="X379" s="19">
        <f>IF(AG379="0",J379,0)</f>
        <v>0</v>
      </c>
      <c r="Y379" s="13" t="s">
        <v>197</v>
      </c>
      <c r="Z379" s="10">
        <f>IF(AD379=0,J379,0)</f>
        <v>0</v>
      </c>
      <c r="AA379" s="10">
        <f>IF(AD379=15,J379,0)</f>
        <v>0</v>
      </c>
      <c r="AB379" s="10">
        <f>IF(AD379=21,J379,0)</f>
        <v>0</v>
      </c>
      <c r="AD379" s="19">
        <v>21</v>
      </c>
      <c r="AE379" s="19">
        <f>G379*0.477618827872635</f>
        <v>0</v>
      </c>
      <c r="AF379" s="19">
        <f>G379*(1-0.477618827872635)</f>
        <v>0</v>
      </c>
      <c r="AG379" s="15" t="s">
        <v>13</v>
      </c>
      <c r="AM379" s="19">
        <f>F379*AE379</f>
        <v>0</v>
      </c>
      <c r="AN379" s="19">
        <f>F379*AF379</f>
        <v>0</v>
      </c>
      <c r="AO379" s="20" t="s">
        <v>840</v>
      </c>
      <c r="AP379" s="20" t="s">
        <v>857</v>
      </c>
      <c r="AQ379" s="13" t="s">
        <v>859</v>
      </c>
      <c r="AS379" s="19">
        <f>AM379+AN379</f>
        <v>0</v>
      </c>
      <c r="AT379" s="19">
        <f>G379/(100-AU379)*100</f>
        <v>0</v>
      </c>
      <c r="AU379" s="19">
        <v>0</v>
      </c>
      <c r="AV379" s="19">
        <f>L379</f>
        <v>0</v>
      </c>
    </row>
    <row r="380" spans="1:48" ht="12.75">
      <c r="A380" s="135" t="s">
        <v>179</v>
      </c>
      <c r="B380" s="135" t="s">
        <v>197</v>
      </c>
      <c r="C380" s="135" t="s">
        <v>383</v>
      </c>
      <c r="D380" s="135" t="s">
        <v>737</v>
      </c>
      <c r="E380" s="135" t="s">
        <v>776</v>
      </c>
      <c r="F380" s="136">
        <v>38.14</v>
      </c>
      <c r="G380" s="136">
        <v>0</v>
      </c>
      <c r="H380" s="136">
        <f>F380*AE380</f>
        <v>0</v>
      </c>
      <c r="I380" s="136">
        <f>J380-H380</f>
        <v>0</v>
      </c>
      <c r="J380" s="136">
        <f>F380*G380</f>
        <v>0</v>
      </c>
      <c r="K380" s="136">
        <v>0.0126</v>
      </c>
      <c r="L380" s="136">
        <f>F380*K380</f>
        <v>0.480564</v>
      </c>
      <c r="M380" s="137" t="s">
        <v>803</v>
      </c>
      <c r="P380" s="19">
        <f>IF(AG380="5",J380,0)</f>
        <v>0</v>
      </c>
      <c r="R380" s="19">
        <f>IF(AG380="1",H380,0)</f>
        <v>0</v>
      </c>
      <c r="S380" s="19">
        <f>IF(AG380="1",I380,0)</f>
        <v>0</v>
      </c>
      <c r="T380" s="19">
        <f>IF(AG380="7",H380,0)</f>
        <v>0</v>
      </c>
      <c r="U380" s="19">
        <f>IF(AG380="7",I380,0)</f>
        <v>0</v>
      </c>
      <c r="V380" s="19">
        <f>IF(AG380="2",H380,0)</f>
        <v>0</v>
      </c>
      <c r="W380" s="19">
        <f>IF(AG380="2",I380,0)</f>
        <v>0</v>
      </c>
      <c r="X380" s="19">
        <f>IF(AG380="0",J380,0)</f>
        <v>0</v>
      </c>
      <c r="Y380" s="13" t="s">
        <v>197</v>
      </c>
      <c r="Z380" s="11">
        <f>IF(AD380=0,J380,0)</f>
        <v>0</v>
      </c>
      <c r="AA380" s="11">
        <f>IF(AD380=15,J380,0)</f>
        <v>0</v>
      </c>
      <c r="AB380" s="11">
        <f>IF(AD380=21,J380,0)</f>
        <v>0</v>
      </c>
      <c r="AD380" s="19">
        <v>21</v>
      </c>
      <c r="AE380" s="19">
        <f>G380*1</f>
        <v>0</v>
      </c>
      <c r="AF380" s="19">
        <f>G380*(1-1)</f>
        <v>0</v>
      </c>
      <c r="AG380" s="16" t="s">
        <v>13</v>
      </c>
      <c r="AM380" s="19">
        <f>F380*AE380</f>
        <v>0</v>
      </c>
      <c r="AN380" s="19">
        <f>F380*AF380</f>
        <v>0</v>
      </c>
      <c r="AO380" s="20" t="s">
        <v>840</v>
      </c>
      <c r="AP380" s="20" t="s">
        <v>857</v>
      </c>
      <c r="AQ380" s="13" t="s">
        <v>859</v>
      </c>
      <c r="AS380" s="19">
        <f>AM380+AN380</f>
        <v>0</v>
      </c>
      <c r="AT380" s="19">
        <f>G380/(100-AU380)*100</f>
        <v>0</v>
      </c>
      <c r="AU380" s="19">
        <v>0</v>
      </c>
      <c r="AV380" s="19">
        <f>L380</f>
        <v>0.480564</v>
      </c>
    </row>
    <row r="381" spans="1:13" ht="12.75">
      <c r="A381" s="132"/>
      <c r="B381" s="132"/>
      <c r="C381" s="132"/>
      <c r="D381" s="133" t="s">
        <v>738</v>
      </c>
      <c r="E381" s="132"/>
      <c r="F381" s="134">
        <v>38.14</v>
      </c>
      <c r="G381" s="132"/>
      <c r="H381" s="132"/>
      <c r="I381" s="132"/>
      <c r="J381" s="132"/>
      <c r="K381" s="132"/>
      <c r="L381" s="132"/>
      <c r="M381" s="132"/>
    </row>
    <row r="382" spans="1:48" ht="12.75">
      <c r="A382" s="129" t="s">
        <v>180</v>
      </c>
      <c r="B382" s="129" t="s">
        <v>197</v>
      </c>
      <c r="C382" s="129" t="s">
        <v>384</v>
      </c>
      <c r="D382" s="129" t="s">
        <v>739</v>
      </c>
      <c r="E382" s="129" t="s">
        <v>778</v>
      </c>
      <c r="F382" s="130">
        <v>0.68</v>
      </c>
      <c r="G382" s="130">
        <v>0</v>
      </c>
      <c r="H382" s="130">
        <f>F382*AE382</f>
        <v>0</v>
      </c>
      <c r="I382" s="130">
        <f>J382-H382</f>
        <v>0</v>
      </c>
      <c r="J382" s="130">
        <f>F382*G382</f>
        <v>0</v>
      </c>
      <c r="K382" s="130">
        <v>0</v>
      </c>
      <c r="L382" s="130">
        <f>F382*K382</f>
        <v>0</v>
      </c>
      <c r="M382" s="131" t="s">
        <v>803</v>
      </c>
      <c r="P382" s="19">
        <f>IF(AG382="5",J382,0)</f>
        <v>0</v>
      </c>
      <c r="R382" s="19">
        <f>IF(AG382="1",H382,0)</f>
        <v>0</v>
      </c>
      <c r="S382" s="19">
        <f>IF(AG382="1",I382,0)</f>
        <v>0</v>
      </c>
      <c r="T382" s="19">
        <f>IF(AG382="7",H382,0)</f>
        <v>0</v>
      </c>
      <c r="U382" s="19">
        <f>IF(AG382="7",I382,0)</f>
        <v>0</v>
      </c>
      <c r="V382" s="19">
        <f>IF(AG382="2",H382,0)</f>
        <v>0</v>
      </c>
      <c r="W382" s="19">
        <f>IF(AG382="2",I382,0)</f>
        <v>0</v>
      </c>
      <c r="X382" s="19">
        <f>IF(AG382="0",J382,0)</f>
        <v>0</v>
      </c>
      <c r="Y382" s="13" t="s">
        <v>197</v>
      </c>
      <c r="Z382" s="10">
        <f>IF(AD382=0,J382,0)</f>
        <v>0</v>
      </c>
      <c r="AA382" s="10">
        <f>IF(AD382=15,J382,0)</f>
        <v>0</v>
      </c>
      <c r="AB382" s="10">
        <f>IF(AD382=21,J382,0)</f>
        <v>0</v>
      </c>
      <c r="AD382" s="19">
        <v>21</v>
      </c>
      <c r="AE382" s="19">
        <f>G382*0</f>
        <v>0</v>
      </c>
      <c r="AF382" s="19">
        <f>G382*(1-0)</f>
        <v>0</v>
      </c>
      <c r="AG382" s="15" t="s">
        <v>11</v>
      </c>
      <c r="AM382" s="19">
        <f>F382*AE382</f>
        <v>0</v>
      </c>
      <c r="AN382" s="19">
        <f>F382*AF382</f>
        <v>0</v>
      </c>
      <c r="AO382" s="20" t="s">
        <v>840</v>
      </c>
      <c r="AP382" s="20" t="s">
        <v>857</v>
      </c>
      <c r="AQ382" s="13" t="s">
        <v>859</v>
      </c>
      <c r="AS382" s="19">
        <f>AM382+AN382</f>
        <v>0</v>
      </c>
      <c r="AT382" s="19">
        <f>G382/(100-AU382)*100</f>
        <v>0</v>
      </c>
      <c r="AU382" s="19">
        <v>0</v>
      </c>
      <c r="AV382" s="19">
        <f>L382</f>
        <v>0</v>
      </c>
    </row>
    <row r="383" spans="1:37" ht="12.75">
      <c r="A383" s="125"/>
      <c r="B383" s="126" t="s">
        <v>197</v>
      </c>
      <c r="C383" s="126" t="s">
        <v>385</v>
      </c>
      <c r="D383" s="126" t="s">
        <v>740</v>
      </c>
      <c r="E383" s="125" t="s">
        <v>6</v>
      </c>
      <c r="F383" s="125" t="s">
        <v>6</v>
      </c>
      <c r="G383" s="125" t="s">
        <v>6</v>
      </c>
      <c r="H383" s="127">
        <f>SUM(H384:H387)</f>
        <v>0</v>
      </c>
      <c r="I383" s="127">
        <f>SUM(I384:I387)</f>
        <v>0</v>
      </c>
      <c r="J383" s="127">
        <f>H383+I383</f>
        <v>0</v>
      </c>
      <c r="K383" s="128"/>
      <c r="L383" s="127">
        <f>SUM(L384:L387)</f>
        <v>0.01953</v>
      </c>
      <c r="M383" s="128"/>
      <c r="Y383" s="13" t="s">
        <v>197</v>
      </c>
      <c r="AI383" s="22">
        <f>SUM(Z384:Z387)</f>
        <v>0</v>
      </c>
      <c r="AJ383" s="22">
        <f>SUM(AA384:AA387)</f>
        <v>0</v>
      </c>
      <c r="AK383" s="22">
        <f>SUM(AB384:AB387)</f>
        <v>0</v>
      </c>
    </row>
    <row r="384" spans="1:48" ht="12.75">
      <c r="A384" s="129" t="s">
        <v>181</v>
      </c>
      <c r="B384" s="129" t="s">
        <v>197</v>
      </c>
      <c r="C384" s="129" t="s">
        <v>386</v>
      </c>
      <c r="D384" s="129" t="s">
        <v>741</v>
      </c>
      <c r="E384" s="129" t="s">
        <v>776</v>
      </c>
      <c r="F384" s="130">
        <v>63.14</v>
      </c>
      <c r="G384" s="130">
        <v>0</v>
      </c>
      <c r="H384" s="130">
        <f>F384*AE384</f>
        <v>0</v>
      </c>
      <c r="I384" s="130">
        <f>J384-H384</f>
        <v>0</v>
      </c>
      <c r="J384" s="130">
        <f>F384*G384</f>
        <v>0</v>
      </c>
      <c r="K384" s="130">
        <v>0.0003</v>
      </c>
      <c r="L384" s="130">
        <f>F384*K384</f>
        <v>0.018941999999999997</v>
      </c>
      <c r="M384" s="131" t="s">
        <v>803</v>
      </c>
      <c r="P384" s="19">
        <f>IF(AG384="5",J384,0)</f>
        <v>0</v>
      </c>
      <c r="R384" s="19">
        <f>IF(AG384="1",H384,0)</f>
        <v>0</v>
      </c>
      <c r="S384" s="19">
        <f>IF(AG384="1",I384,0)</f>
        <v>0</v>
      </c>
      <c r="T384" s="19">
        <f>IF(AG384="7",H384,0)</f>
        <v>0</v>
      </c>
      <c r="U384" s="19">
        <f>IF(AG384="7",I384,0)</f>
        <v>0</v>
      </c>
      <c r="V384" s="19">
        <f>IF(AG384="2",H384,0)</f>
        <v>0</v>
      </c>
      <c r="W384" s="19">
        <f>IF(AG384="2",I384,0)</f>
        <v>0</v>
      </c>
      <c r="X384" s="19">
        <f>IF(AG384="0",J384,0)</f>
        <v>0</v>
      </c>
      <c r="Y384" s="13" t="s">
        <v>197</v>
      </c>
      <c r="Z384" s="10">
        <f>IF(AD384=0,J384,0)</f>
        <v>0</v>
      </c>
      <c r="AA384" s="10">
        <f>IF(AD384=15,J384,0)</f>
        <v>0</v>
      </c>
      <c r="AB384" s="10">
        <f>IF(AD384=21,J384,0)</f>
        <v>0</v>
      </c>
      <c r="AD384" s="19">
        <v>21</v>
      </c>
      <c r="AE384" s="19">
        <f>G384*0.233985519672287</f>
        <v>0</v>
      </c>
      <c r="AF384" s="19">
        <f>G384*(1-0.233985519672287)</f>
        <v>0</v>
      </c>
      <c r="AG384" s="15" t="s">
        <v>13</v>
      </c>
      <c r="AM384" s="19">
        <f>F384*AE384</f>
        <v>0</v>
      </c>
      <c r="AN384" s="19">
        <f>F384*AF384</f>
        <v>0</v>
      </c>
      <c r="AO384" s="20" t="s">
        <v>841</v>
      </c>
      <c r="AP384" s="20" t="s">
        <v>857</v>
      </c>
      <c r="AQ384" s="13" t="s">
        <v>859</v>
      </c>
      <c r="AS384" s="19">
        <f>AM384+AN384</f>
        <v>0</v>
      </c>
      <c r="AT384" s="19">
        <f>G384/(100-AU384)*100</f>
        <v>0</v>
      </c>
      <c r="AU384" s="19">
        <v>0</v>
      </c>
      <c r="AV384" s="19">
        <f>L384</f>
        <v>0.018941999999999997</v>
      </c>
    </row>
    <row r="385" spans="1:13" ht="12.75">
      <c r="A385" s="132"/>
      <c r="B385" s="132"/>
      <c r="C385" s="132"/>
      <c r="D385" s="133" t="s">
        <v>742</v>
      </c>
      <c r="E385" s="132"/>
      <c r="F385" s="134">
        <v>8.84</v>
      </c>
      <c r="G385" s="132"/>
      <c r="H385" s="132"/>
      <c r="I385" s="132"/>
      <c r="J385" s="132"/>
      <c r="K385" s="132"/>
      <c r="L385" s="132"/>
      <c r="M385" s="132"/>
    </row>
    <row r="386" spans="1:13" ht="12.75">
      <c r="A386" s="132"/>
      <c r="B386" s="132"/>
      <c r="C386" s="132"/>
      <c r="D386" s="133" t="s">
        <v>743</v>
      </c>
      <c r="E386" s="132"/>
      <c r="F386" s="134">
        <v>54.3</v>
      </c>
      <c r="G386" s="132"/>
      <c r="H386" s="132"/>
      <c r="I386" s="132"/>
      <c r="J386" s="132"/>
      <c r="K386" s="132"/>
      <c r="L386" s="132"/>
      <c r="M386" s="132"/>
    </row>
    <row r="387" spans="1:48" ht="12.75">
      <c r="A387" s="129" t="s">
        <v>182</v>
      </c>
      <c r="B387" s="129" t="s">
        <v>197</v>
      </c>
      <c r="C387" s="129" t="s">
        <v>387</v>
      </c>
      <c r="D387" s="129" t="s">
        <v>744</v>
      </c>
      <c r="E387" s="129" t="s">
        <v>776</v>
      </c>
      <c r="F387" s="130">
        <v>2.8</v>
      </c>
      <c r="G387" s="130">
        <v>0</v>
      </c>
      <c r="H387" s="130">
        <f>F387*AE387</f>
        <v>0</v>
      </c>
      <c r="I387" s="130">
        <f>J387-H387</f>
        <v>0</v>
      </c>
      <c r="J387" s="130">
        <f>F387*G387</f>
        <v>0</v>
      </c>
      <c r="K387" s="130">
        <v>0.00021</v>
      </c>
      <c r="L387" s="130">
        <f>F387*K387</f>
        <v>0.000588</v>
      </c>
      <c r="M387" s="131" t="s">
        <v>803</v>
      </c>
      <c r="P387" s="19">
        <f>IF(AG387="5",J387,0)</f>
        <v>0</v>
      </c>
      <c r="R387" s="19">
        <f>IF(AG387="1",H387,0)</f>
        <v>0</v>
      </c>
      <c r="S387" s="19">
        <f>IF(AG387="1",I387,0)</f>
        <v>0</v>
      </c>
      <c r="T387" s="19">
        <f>IF(AG387="7",H387,0)</f>
        <v>0</v>
      </c>
      <c r="U387" s="19">
        <f>IF(AG387="7",I387,0)</f>
        <v>0</v>
      </c>
      <c r="V387" s="19">
        <f>IF(AG387="2",H387,0)</f>
        <v>0</v>
      </c>
      <c r="W387" s="19">
        <f>IF(AG387="2",I387,0)</f>
        <v>0</v>
      </c>
      <c r="X387" s="19">
        <f>IF(AG387="0",J387,0)</f>
        <v>0</v>
      </c>
      <c r="Y387" s="13" t="s">
        <v>197</v>
      </c>
      <c r="Z387" s="10">
        <f>IF(AD387=0,J387,0)</f>
        <v>0</v>
      </c>
      <c r="AA387" s="10">
        <f>IF(AD387=15,J387,0)</f>
        <v>0</v>
      </c>
      <c r="AB387" s="10">
        <f>IF(AD387=21,J387,0)</f>
        <v>0</v>
      </c>
      <c r="AD387" s="19">
        <v>21</v>
      </c>
      <c r="AE387" s="19">
        <f>G387*0.541422222222222</f>
        <v>0</v>
      </c>
      <c r="AF387" s="19">
        <f>G387*(1-0.541422222222222)</f>
        <v>0</v>
      </c>
      <c r="AG387" s="15" t="s">
        <v>13</v>
      </c>
      <c r="AM387" s="19">
        <f>F387*AE387</f>
        <v>0</v>
      </c>
      <c r="AN387" s="19">
        <f>F387*AF387</f>
        <v>0</v>
      </c>
      <c r="AO387" s="20" t="s">
        <v>841</v>
      </c>
      <c r="AP387" s="20" t="s">
        <v>857</v>
      </c>
      <c r="AQ387" s="13" t="s">
        <v>859</v>
      </c>
      <c r="AS387" s="19">
        <f>AM387+AN387</f>
        <v>0</v>
      </c>
      <c r="AT387" s="19">
        <f>G387/(100-AU387)*100</f>
        <v>0</v>
      </c>
      <c r="AU387" s="19">
        <v>0</v>
      </c>
      <c r="AV387" s="19">
        <f>L387</f>
        <v>0.000588</v>
      </c>
    </row>
    <row r="388" spans="1:13" ht="12.75">
      <c r="A388" s="132"/>
      <c r="B388" s="132"/>
      <c r="C388" s="132"/>
      <c r="D388" s="133" t="s">
        <v>745</v>
      </c>
      <c r="E388" s="132"/>
      <c r="F388" s="134">
        <v>2.8</v>
      </c>
      <c r="G388" s="132"/>
      <c r="H388" s="132"/>
      <c r="I388" s="132"/>
      <c r="J388" s="132"/>
      <c r="K388" s="132"/>
      <c r="L388" s="132"/>
      <c r="M388" s="132"/>
    </row>
    <row r="389" spans="1:37" ht="12.75">
      <c r="A389" s="125"/>
      <c r="B389" s="126" t="s">
        <v>197</v>
      </c>
      <c r="C389" s="126" t="s">
        <v>388</v>
      </c>
      <c r="D389" s="126" t="s">
        <v>746</v>
      </c>
      <c r="E389" s="125" t="s">
        <v>6</v>
      </c>
      <c r="F389" s="125" t="s">
        <v>6</v>
      </c>
      <c r="G389" s="125" t="s">
        <v>6</v>
      </c>
      <c r="H389" s="127">
        <f>SUM(H390:H397)</f>
        <v>0</v>
      </c>
      <c r="I389" s="127">
        <f>SUM(I390:I397)</f>
        <v>0</v>
      </c>
      <c r="J389" s="127">
        <f>H389+I389</f>
        <v>0</v>
      </c>
      <c r="K389" s="128"/>
      <c r="L389" s="127">
        <f>SUM(L390:L397)</f>
        <v>0.0779712</v>
      </c>
      <c r="M389" s="128"/>
      <c r="Y389" s="13" t="s">
        <v>197</v>
      </c>
      <c r="AI389" s="22">
        <f>SUM(Z390:Z397)</f>
        <v>0</v>
      </c>
      <c r="AJ389" s="22">
        <f>SUM(AA390:AA397)</f>
        <v>0</v>
      </c>
      <c r="AK389" s="22">
        <f>SUM(AB390:AB397)</f>
        <v>0</v>
      </c>
    </row>
    <row r="390" spans="1:48" ht="12.75">
      <c r="A390" s="129" t="s">
        <v>183</v>
      </c>
      <c r="B390" s="129" t="s">
        <v>197</v>
      </c>
      <c r="C390" s="129" t="s">
        <v>389</v>
      </c>
      <c r="D390" s="129" t="s">
        <v>747</v>
      </c>
      <c r="E390" s="129" t="s">
        <v>776</v>
      </c>
      <c r="F390" s="130">
        <v>121.83</v>
      </c>
      <c r="G390" s="130">
        <v>0</v>
      </c>
      <c r="H390" s="130">
        <f>F390*AE390</f>
        <v>0</v>
      </c>
      <c r="I390" s="130">
        <f>J390-H390</f>
        <v>0</v>
      </c>
      <c r="J390" s="130">
        <f>F390*G390</f>
        <v>0</v>
      </c>
      <c r="K390" s="130">
        <v>0.00018</v>
      </c>
      <c r="L390" s="130">
        <f>F390*K390</f>
        <v>0.0219294</v>
      </c>
      <c r="M390" s="131" t="s">
        <v>803</v>
      </c>
      <c r="P390" s="19">
        <f>IF(AG390="5",J390,0)</f>
        <v>0</v>
      </c>
      <c r="R390" s="19">
        <f>IF(AG390="1",H390,0)</f>
        <v>0</v>
      </c>
      <c r="S390" s="19">
        <f>IF(AG390="1",I390,0)</f>
        <v>0</v>
      </c>
      <c r="T390" s="19">
        <f>IF(AG390="7",H390,0)</f>
        <v>0</v>
      </c>
      <c r="U390" s="19">
        <f>IF(AG390="7",I390,0)</f>
        <v>0</v>
      </c>
      <c r="V390" s="19">
        <f>IF(AG390="2",H390,0)</f>
        <v>0</v>
      </c>
      <c r="W390" s="19">
        <f>IF(AG390="2",I390,0)</f>
        <v>0</v>
      </c>
      <c r="X390" s="19">
        <f>IF(AG390="0",J390,0)</f>
        <v>0</v>
      </c>
      <c r="Y390" s="13" t="s">
        <v>197</v>
      </c>
      <c r="Z390" s="10">
        <f>IF(AD390=0,J390,0)</f>
        <v>0</v>
      </c>
      <c r="AA390" s="10">
        <f>IF(AD390=15,J390,0)</f>
        <v>0</v>
      </c>
      <c r="AB390" s="10">
        <f>IF(AD390=21,J390,0)</f>
        <v>0</v>
      </c>
      <c r="AD390" s="19">
        <v>21</v>
      </c>
      <c r="AE390" s="19">
        <f>G390*0.373112629704197</f>
        <v>0</v>
      </c>
      <c r="AF390" s="19">
        <f>G390*(1-0.373112629704197)</f>
        <v>0</v>
      </c>
      <c r="AG390" s="15" t="s">
        <v>13</v>
      </c>
      <c r="AM390" s="19">
        <f>F390*AE390</f>
        <v>0</v>
      </c>
      <c r="AN390" s="19">
        <f>F390*AF390</f>
        <v>0</v>
      </c>
      <c r="AO390" s="20" t="s">
        <v>842</v>
      </c>
      <c r="AP390" s="20" t="s">
        <v>857</v>
      </c>
      <c r="AQ390" s="13" t="s">
        <v>859</v>
      </c>
      <c r="AS390" s="19">
        <f>AM390+AN390</f>
        <v>0</v>
      </c>
      <c r="AT390" s="19">
        <f>G390/(100-AU390)*100</f>
        <v>0</v>
      </c>
      <c r="AU390" s="19">
        <v>0</v>
      </c>
      <c r="AV390" s="19">
        <f>L390</f>
        <v>0.0219294</v>
      </c>
    </row>
    <row r="391" spans="1:13" ht="12.75">
      <c r="A391" s="132"/>
      <c r="B391" s="132"/>
      <c r="C391" s="132"/>
      <c r="D391" s="133" t="s">
        <v>748</v>
      </c>
      <c r="E391" s="132"/>
      <c r="F391" s="134">
        <v>32.73</v>
      </c>
      <c r="G391" s="132"/>
      <c r="H391" s="132"/>
      <c r="I391" s="132"/>
      <c r="J391" s="132"/>
      <c r="K391" s="132"/>
      <c r="L391" s="132"/>
      <c r="M391" s="132"/>
    </row>
    <row r="392" spans="1:13" ht="12.75">
      <c r="A392" s="132"/>
      <c r="B392" s="132"/>
      <c r="C392" s="132"/>
      <c r="D392" s="133" t="s">
        <v>513</v>
      </c>
      <c r="E392" s="132"/>
      <c r="F392" s="134">
        <v>17.12</v>
      </c>
      <c r="G392" s="132"/>
      <c r="H392" s="132"/>
      <c r="I392" s="132"/>
      <c r="J392" s="132"/>
      <c r="K392" s="132"/>
      <c r="L392" s="132"/>
      <c r="M392" s="132"/>
    </row>
    <row r="393" spans="1:13" ht="12.75">
      <c r="A393" s="132"/>
      <c r="B393" s="132"/>
      <c r="C393" s="132"/>
      <c r="D393" s="133" t="s">
        <v>749</v>
      </c>
      <c r="E393" s="132"/>
      <c r="F393" s="134">
        <v>14.79</v>
      </c>
      <c r="G393" s="132"/>
      <c r="H393" s="132"/>
      <c r="I393" s="132"/>
      <c r="J393" s="132"/>
      <c r="K393" s="132"/>
      <c r="L393" s="132"/>
      <c r="M393" s="132"/>
    </row>
    <row r="394" spans="1:13" ht="12.75">
      <c r="A394" s="132"/>
      <c r="B394" s="132"/>
      <c r="C394" s="132"/>
      <c r="D394" s="133" t="s">
        <v>750</v>
      </c>
      <c r="E394" s="132"/>
      <c r="F394" s="134">
        <v>29.58</v>
      </c>
      <c r="G394" s="132"/>
      <c r="H394" s="132"/>
      <c r="I394" s="132"/>
      <c r="J394" s="132"/>
      <c r="K394" s="132"/>
      <c r="L394" s="132"/>
      <c r="M394" s="132"/>
    </row>
    <row r="395" spans="1:13" ht="12.75">
      <c r="A395" s="132"/>
      <c r="B395" s="132"/>
      <c r="C395" s="132"/>
      <c r="D395" s="133" t="s">
        <v>751</v>
      </c>
      <c r="E395" s="132"/>
      <c r="F395" s="134">
        <v>23.21</v>
      </c>
      <c r="G395" s="132"/>
      <c r="H395" s="132"/>
      <c r="I395" s="132"/>
      <c r="J395" s="132"/>
      <c r="K395" s="132"/>
      <c r="L395" s="132"/>
      <c r="M395" s="132"/>
    </row>
    <row r="396" spans="1:13" ht="12.75">
      <c r="A396" s="132"/>
      <c r="B396" s="132"/>
      <c r="C396" s="132"/>
      <c r="D396" s="133" t="s">
        <v>752</v>
      </c>
      <c r="E396" s="132"/>
      <c r="F396" s="134">
        <v>4.4</v>
      </c>
      <c r="G396" s="132"/>
      <c r="H396" s="132"/>
      <c r="I396" s="132"/>
      <c r="J396" s="132"/>
      <c r="K396" s="132"/>
      <c r="L396" s="132"/>
      <c r="M396" s="132"/>
    </row>
    <row r="397" spans="1:48" ht="12.75">
      <c r="A397" s="129" t="s">
        <v>184</v>
      </c>
      <c r="B397" s="129" t="s">
        <v>197</v>
      </c>
      <c r="C397" s="129" t="s">
        <v>390</v>
      </c>
      <c r="D397" s="129" t="s">
        <v>753</v>
      </c>
      <c r="E397" s="129" t="s">
        <v>776</v>
      </c>
      <c r="F397" s="130">
        <v>121.83</v>
      </c>
      <c r="G397" s="130">
        <v>0</v>
      </c>
      <c r="H397" s="130">
        <f>F397*AE397</f>
        <v>0</v>
      </c>
      <c r="I397" s="130">
        <f>J397-H397</f>
        <v>0</v>
      </c>
      <c r="J397" s="130">
        <f>F397*G397</f>
        <v>0</v>
      </c>
      <c r="K397" s="130">
        <v>0.00046</v>
      </c>
      <c r="L397" s="130">
        <f>F397*K397</f>
        <v>0.0560418</v>
      </c>
      <c r="M397" s="131" t="s">
        <v>803</v>
      </c>
      <c r="P397" s="19">
        <f>IF(AG397="5",J397,0)</f>
        <v>0</v>
      </c>
      <c r="R397" s="19">
        <f>IF(AG397="1",H397,0)</f>
        <v>0</v>
      </c>
      <c r="S397" s="19">
        <f>IF(AG397="1",I397,0)</f>
        <v>0</v>
      </c>
      <c r="T397" s="19">
        <f>IF(AG397="7",H397,0)</f>
        <v>0</v>
      </c>
      <c r="U397" s="19">
        <f>IF(AG397="7",I397,0)</f>
        <v>0</v>
      </c>
      <c r="V397" s="19">
        <f>IF(AG397="2",H397,0)</f>
        <v>0</v>
      </c>
      <c r="W397" s="19">
        <f>IF(AG397="2",I397,0)</f>
        <v>0</v>
      </c>
      <c r="X397" s="19">
        <f>IF(AG397="0",J397,0)</f>
        <v>0</v>
      </c>
      <c r="Y397" s="13" t="s">
        <v>197</v>
      </c>
      <c r="Z397" s="10">
        <f>IF(AD397=0,J397,0)</f>
        <v>0</v>
      </c>
      <c r="AA397" s="10">
        <f>IF(AD397=15,J397,0)</f>
        <v>0</v>
      </c>
      <c r="AB397" s="10">
        <f>IF(AD397=21,J397,0)</f>
        <v>0</v>
      </c>
      <c r="AD397" s="19">
        <v>21</v>
      </c>
      <c r="AE397" s="19">
        <f>G397*0.323987508148306</f>
        <v>0</v>
      </c>
      <c r="AF397" s="19">
        <f>G397*(1-0.323987508148306)</f>
        <v>0</v>
      </c>
      <c r="AG397" s="15" t="s">
        <v>13</v>
      </c>
      <c r="AM397" s="19">
        <f>F397*AE397</f>
        <v>0</v>
      </c>
      <c r="AN397" s="19">
        <f>F397*AF397</f>
        <v>0</v>
      </c>
      <c r="AO397" s="20" t="s">
        <v>842</v>
      </c>
      <c r="AP397" s="20" t="s">
        <v>857</v>
      </c>
      <c r="AQ397" s="13" t="s">
        <v>859</v>
      </c>
      <c r="AS397" s="19">
        <f>AM397+AN397</f>
        <v>0</v>
      </c>
      <c r="AT397" s="19">
        <f>G397/(100-AU397)*100</f>
        <v>0</v>
      </c>
      <c r="AU397" s="19">
        <v>0</v>
      </c>
      <c r="AV397" s="19">
        <f>L397</f>
        <v>0.0560418</v>
      </c>
    </row>
    <row r="398" spans="1:37" ht="12.75">
      <c r="A398" s="125"/>
      <c r="B398" s="126" t="s">
        <v>197</v>
      </c>
      <c r="C398" s="126" t="s">
        <v>100</v>
      </c>
      <c r="D398" s="126" t="s">
        <v>754</v>
      </c>
      <c r="E398" s="125" t="s">
        <v>6</v>
      </c>
      <c r="F398" s="125" t="s">
        <v>6</v>
      </c>
      <c r="G398" s="125" t="s">
        <v>6</v>
      </c>
      <c r="H398" s="127">
        <f>SUM(H399:H399)</f>
        <v>0</v>
      </c>
      <c r="I398" s="127">
        <f>SUM(I399:I399)</f>
        <v>0</v>
      </c>
      <c r="J398" s="127">
        <f>H398+I398</f>
        <v>0</v>
      </c>
      <c r="K398" s="128"/>
      <c r="L398" s="127">
        <f>SUM(L399:L399)</f>
        <v>0.0484</v>
      </c>
      <c r="M398" s="128"/>
      <c r="Y398" s="13" t="s">
        <v>197</v>
      </c>
      <c r="AI398" s="22">
        <f>SUM(Z399:Z399)</f>
        <v>0</v>
      </c>
      <c r="AJ398" s="22">
        <f>SUM(AA399:AA399)</f>
        <v>0</v>
      </c>
      <c r="AK398" s="22">
        <f>SUM(AB399:AB399)</f>
        <v>0</v>
      </c>
    </row>
    <row r="399" spans="1:48" ht="12.75">
      <c r="A399" s="129" t="s">
        <v>185</v>
      </c>
      <c r="B399" s="129" t="s">
        <v>197</v>
      </c>
      <c r="C399" s="129" t="s">
        <v>391</v>
      </c>
      <c r="D399" s="129" t="s">
        <v>755</v>
      </c>
      <c r="E399" s="129" t="s">
        <v>776</v>
      </c>
      <c r="F399" s="130">
        <v>40</v>
      </c>
      <c r="G399" s="130">
        <v>0</v>
      </c>
      <c r="H399" s="130">
        <f>F399*AE399</f>
        <v>0</v>
      </c>
      <c r="I399" s="130">
        <f>J399-H399</f>
        <v>0</v>
      </c>
      <c r="J399" s="130">
        <f>F399*G399</f>
        <v>0</v>
      </c>
      <c r="K399" s="130">
        <v>0.00121</v>
      </c>
      <c r="L399" s="130">
        <f>F399*K399</f>
        <v>0.0484</v>
      </c>
      <c r="M399" s="131" t="s">
        <v>803</v>
      </c>
      <c r="P399" s="19">
        <f>IF(AG399="5",J399,0)</f>
        <v>0</v>
      </c>
      <c r="R399" s="19">
        <f>IF(AG399="1",H399,0)</f>
        <v>0</v>
      </c>
      <c r="S399" s="19">
        <f>IF(AG399="1",I399,0)</f>
        <v>0</v>
      </c>
      <c r="T399" s="19">
        <f>IF(AG399="7",H399,0)</f>
        <v>0</v>
      </c>
      <c r="U399" s="19">
        <f>IF(AG399="7",I399,0)</f>
        <v>0</v>
      </c>
      <c r="V399" s="19">
        <f>IF(AG399="2",H399,0)</f>
        <v>0</v>
      </c>
      <c r="W399" s="19">
        <f>IF(AG399="2",I399,0)</f>
        <v>0</v>
      </c>
      <c r="X399" s="19">
        <f>IF(AG399="0",J399,0)</f>
        <v>0</v>
      </c>
      <c r="Y399" s="13" t="s">
        <v>197</v>
      </c>
      <c r="Z399" s="10">
        <f>IF(AD399=0,J399,0)</f>
        <v>0</v>
      </c>
      <c r="AA399" s="10">
        <f>IF(AD399=15,J399,0)</f>
        <v>0</v>
      </c>
      <c r="AB399" s="10">
        <f>IF(AD399=21,J399,0)</f>
        <v>0</v>
      </c>
      <c r="AD399" s="19">
        <v>21</v>
      </c>
      <c r="AE399" s="19">
        <f>G399*0.367706919945726</f>
        <v>0</v>
      </c>
      <c r="AF399" s="19">
        <f>G399*(1-0.367706919945726)</f>
        <v>0</v>
      </c>
      <c r="AG399" s="15" t="s">
        <v>7</v>
      </c>
      <c r="AM399" s="19">
        <f>F399*AE399</f>
        <v>0</v>
      </c>
      <c r="AN399" s="19">
        <f>F399*AF399</f>
        <v>0</v>
      </c>
      <c r="AO399" s="20" t="s">
        <v>843</v>
      </c>
      <c r="AP399" s="20" t="s">
        <v>858</v>
      </c>
      <c r="AQ399" s="13" t="s">
        <v>859</v>
      </c>
      <c r="AS399" s="19">
        <f>AM399+AN399</f>
        <v>0</v>
      </c>
      <c r="AT399" s="19">
        <f>G399/(100-AU399)*100</f>
        <v>0</v>
      </c>
      <c r="AU399" s="19">
        <v>0</v>
      </c>
      <c r="AV399" s="19">
        <f>L399</f>
        <v>0.0484</v>
      </c>
    </row>
    <row r="400" spans="1:37" ht="12.75">
      <c r="A400" s="125"/>
      <c r="B400" s="126" t="s">
        <v>197</v>
      </c>
      <c r="C400" s="126" t="s">
        <v>101</v>
      </c>
      <c r="D400" s="126" t="s">
        <v>756</v>
      </c>
      <c r="E400" s="125" t="s">
        <v>6</v>
      </c>
      <c r="F400" s="125" t="s">
        <v>6</v>
      </c>
      <c r="G400" s="125" t="s">
        <v>6</v>
      </c>
      <c r="H400" s="127">
        <f>SUM(H401:H404)</f>
        <v>0</v>
      </c>
      <c r="I400" s="127">
        <f>SUM(I401:I404)</f>
        <v>0</v>
      </c>
      <c r="J400" s="127">
        <f>H400+I400</f>
        <v>0</v>
      </c>
      <c r="K400" s="128"/>
      <c r="L400" s="127">
        <f>SUM(L401:L404)</f>
        <v>0.007026</v>
      </c>
      <c r="M400" s="128"/>
      <c r="Y400" s="13" t="s">
        <v>197</v>
      </c>
      <c r="AI400" s="22">
        <f>SUM(Z401:Z404)</f>
        <v>0</v>
      </c>
      <c r="AJ400" s="22">
        <f>SUM(AA401:AA404)</f>
        <v>0</v>
      </c>
      <c r="AK400" s="22">
        <f>SUM(AB401:AB404)</f>
        <v>0</v>
      </c>
    </row>
    <row r="401" spans="1:48" ht="12.75">
      <c r="A401" s="129" t="s">
        <v>186</v>
      </c>
      <c r="B401" s="129" t="s">
        <v>197</v>
      </c>
      <c r="C401" s="129" t="s">
        <v>392</v>
      </c>
      <c r="D401" s="129" t="s">
        <v>757</v>
      </c>
      <c r="E401" s="129" t="s">
        <v>776</v>
      </c>
      <c r="F401" s="130">
        <v>40.4</v>
      </c>
      <c r="G401" s="130">
        <v>0</v>
      </c>
      <c r="H401" s="130">
        <f>F401*AE401</f>
        <v>0</v>
      </c>
      <c r="I401" s="130">
        <f>J401-H401</f>
        <v>0</v>
      </c>
      <c r="J401" s="130">
        <f>F401*G401</f>
        <v>0</v>
      </c>
      <c r="K401" s="130">
        <v>4E-05</v>
      </c>
      <c r="L401" s="130">
        <f>F401*K401</f>
        <v>0.001616</v>
      </c>
      <c r="M401" s="131" t="s">
        <v>803</v>
      </c>
      <c r="P401" s="19">
        <f>IF(AG401="5",J401,0)</f>
        <v>0</v>
      </c>
      <c r="R401" s="19">
        <f>IF(AG401="1",H401,0)</f>
        <v>0</v>
      </c>
      <c r="S401" s="19">
        <f>IF(AG401="1",I401,0)</f>
        <v>0</v>
      </c>
      <c r="T401" s="19">
        <f>IF(AG401="7",H401,0)</f>
        <v>0</v>
      </c>
      <c r="U401" s="19">
        <f>IF(AG401="7",I401,0)</f>
        <v>0</v>
      </c>
      <c r="V401" s="19">
        <f>IF(AG401="2",H401,0)</f>
        <v>0</v>
      </c>
      <c r="W401" s="19">
        <f>IF(AG401="2",I401,0)</f>
        <v>0</v>
      </c>
      <c r="X401" s="19">
        <f>IF(AG401="0",J401,0)</f>
        <v>0</v>
      </c>
      <c r="Y401" s="13" t="s">
        <v>197</v>
      </c>
      <c r="Z401" s="10">
        <f>IF(AD401=0,J401,0)</f>
        <v>0</v>
      </c>
      <c r="AA401" s="10">
        <f>IF(AD401=15,J401,0)</f>
        <v>0</v>
      </c>
      <c r="AB401" s="10">
        <f>IF(AD401=21,J401,0)</f>
        <v>0</v>
      </c>
      <c r="AD401" s="19">
        <v>21</v>
      </c>
      <c r="AE401" s="19">
        <f>G401*0.0144264394424469</f>
        <v>0</v>
      </c>
      <c r="AF401" s="19">
        <f>G401*(1-0.0144264394424469)</f>
        <v>0</v>
      </c>
      <c r="AG401" s="15" t="s">
        <v>7</v>
      </c>
      <c r="AM401" s="19">
        <f>F401*AE401</f>
        <v>0</v>
      </c>
      <c r="AN401" s="19">
        <f>F401*AF401</f>
        <v>0</v>
      </c>
      <c r="AO401" s="20" t="s">
        <v>844</v>
      </c>
      <c r="AP401" s="20" t="s">
        <v>858</v>
      </c>
      <c r="AQ401" s="13" t="s">
        <v>859</v>
      </c>
      <c r="AS401" s="19">
        <f>AM401+AN401</f>
        <v>0</v>
      </c>
      <c r="AT401" s="19">
        <f>G401/(100-AU401)*100</f>
        <v>0</v>
      </c>
      <c r="AU401" s="19">
        <v>0</v>
      </c>
      <c r="AV401" s="19">
        <f>L401</f>
        <v>0.001616</v>
      </c>
    </row>
    <row r="402" spans="1:13" ht="12.75">
      <c r="A402" s="132"/>
      <c r="B402" s="132"/>
      <c r="C402" s="132"/>
      <c r="D402" s="133" t="s">
        <v>555</v>
      </c>
      <c r="E402" s="132"/>
      <c r="F402" s="134">
        <v>40.4</v>
      </c>
      <c r="G402" s="132"/>
      <c r="H402" s="132"/>
      <c r="I402" s="132"/>
      <c r="J402" s="132"/>
      <c r="K402" s="132"/>
      <c r="L402" s="132"/>
      <c r="M402" s="132"/>
    </row>
    <row r="403" spans="1:48" ht="12.75">
      <c r="A403" s="129" t="s">
        <v>187</v>
      </c>
      <c r="B403" s="129" t="s">
        <v>197</v>
      </c>
      <c r="C403" s="129" t="s">
        <v>393</v>
      </c>
      <c r="D403" s="129" t="s">
        <v>758</v>
      </c>
      <c r="E403" s="129" t="s">
        <v>777</v>
      </c>
      <c r="F403" s="130">
        <v>1</v>
      </c>
      <c r="G403" s="130">
        <v>0</v>
      </c>
      <c r="H403" s="130">
        <f>F403*AE403</f>
        <v>0</v>
      </c>
      <c r="I403" s="130">
        <f>J403-H403</f>
        <v>0</v>
      </c>
      <c r="J403" s="130">
        <f>F403*G403</f>
        <v>0</v>
      </c>
      <c r="K403" s="130">
        <v>1E-05</v>
      </c>
      <c r="L403" s="130">
        <f>F403*K403</f>
        <v>1E-05</v>
      </c>
      <c r="M403" s="131" t="s">
        <v>803</v>
      </c>
      <c r="P403" s="19">
        <f>IF(AG403="5",J403,0)</f>
        <v>0</v>
      </c>
      <c r="R403" s="19">
        <f>IF(AG403="1",H403,0)</f>
        <v>0</v>
      </c>
      <c r="S403" s="19">
        <f>IF(AG403="1",I403,0)</f>
        <v>0</v>
      </c>
      <c r="T403" s="19">
        <f>IF(AG403="7",H403,0)</f>
        <v>0</v>
      </c>
      <c r="U403" s="19">
        <f>IF(AG403="7",I403,0)</f>
        <v>0</v>
      </c>
      <c r="V403" s="19">
        <f>IF(AG403="2",H403,0)</f>
        <v>0</v>
      </c>
      <c r="W403" s="19">
        <f>IF(AG403="2",I403,0)</f>
        <v>0</v>
      </c>
      <c r="X403" s="19">
        <f>IF(AG403="0",J403,0)</f>
        <v>0</v>
      </c>
      <c r="Y403" s="13" t="s">
        <v>197</v>
      </c>
      <c r="Z403" s="10">
        <f>IF(AD403=0,J403,0)</f>
        <v>0</v>
      </c>
      <c r="AA403" s="10">
        <f>IF(AD403=15,J403,0)</f>
        <v>0</v>
      </c>
      <c r="AB403" s="10">
        <f>IF(AD403=21,J403,0)</f>
        <v>0</v>
      </c>
      <c r="AD403" s="19">
        <v>21</v>
      </c>
      <c r="AE403" s="19">
        <f>G403*0.11911532385466</f>
        <v>0</v>
      </c>
      <c r="AF403" s="19">
        <f>G403*(1-0.11911532385466)</f>
        <v>0</v>
      </c>
      <c r="AG403" s="15" t="s">
        <v>7</v>
      </c>
      <c r="AM403" s="19">
        <f>F403*AE403</f>
        <v>0</v>
      </c>
      <c r="AN403" s="19">
        <f>F403*AF403</f>
        <v>0</v>
      </c>
      <c r="AO403" s="20" t="s">
        <v>844</v>
      </c>
      <c r="AP403" s="20" t="s">
        <v>858</v>
      </c>
      <c r="AQ403" s="13" t="s">
        <v>859</v>
      </c>
      <c r="AS403" s="19">
        <f>AM403+AN403</f>
        <v>0</v>
      </c>
      <c r="AT403" s="19">
        <f>G403/(100-AU403)*100</f>
        <v>0</v>
      </c>
      <c r="AU403" s="19">
        <v>0</v>
      </c>
      <c r="AV403" s="19">
        <f>L403</f>
        <v>1E-05</v>
      </c>
    </row>
    <row r="404" spans="1:48" ht="12.75">
      <c r="A404" s="135" t="s">
        <v>188</v>
      </c>
      <c r="B404" s="135" t="s">
        <v>197</v>
      </c>
      <c r="C404" s="135" t="s">
        <v>394</v>
      </c>
      <c r="D404" s="135" t="s">
        <v>759</v>
      </c>
      <c r="E404" s="135" t="s">
        <v>777</v>
      </c>
      <c r="F404" s="136">
        <v>1</v>
      </c>
      <c r="G404" s="136">
        <v>0</v>
      </c>
      <c r="H404" s="136">
        <f>F404*AE404</f>
        <v>0</v>
      </c>
      <c r="I404" s="136">
        <f>J404-H404</f>
        <v>0</v>
      </c>
      <c r="J404" s="136">
        <f>F404*G404</f>
        <v>0</v>
      </c>
      <c r="K404" s="136">
        <v>0.0054</v>
      </c>
      <c r="L404" s="136">
        <f>F404*K404</f>
        <v>0.0054</v>
      </c>
      <c r="M404" s="137" t="s">
        <v>803</v>
      </c>
      <c r="P404" s="19">
        <f>IF(AG404="5",J404,0)</f>
        <v>0</v>
      </c>
      <c r="R404" s="19">
        <f>IF(AG404="1",H404,0)</f>
        <v>0</v>
      </c>
      <c r="S404" s="19">
        <f>IF(AG404="1",I404,0)</f>
        <v>0</v>
      </c>
      <c r="T404" s="19">
        <f>IF(AG404="7",H404,0)</f>
        <v>0</v>
      </c>
      <c r="U404" s="19">
        <f>IF(AG404="7",I404,0)</f>
        <v>0</v>
      </c>
      <c r="V404" s="19">
        <f>IF(AG404="2",H404,0)</f>
        <v>0</v>
      </c>
      <c r="W404" s="19">
        <f>IF(AG404="2",I404,0)</f>
        <v>0</v>
      </c>
      <c r="X404" s="19">
        <f>IF(AG404="0",J404,0)</f>
        <v>0</v>
      </c>
      <c r="Y404" s="13" t="s">
        <v>197</v>
      </c>
      <c r="Z404" s="11">
        <f>IF(AD404=0,J404,0)</f>
        <v>0</v>
      </c>
      <c r="AA404" s="11">
        <f>IF(AD404=15,J404,0)</f>
        <v>0</v>
      </c>
      <c r="AB404" s="11">
        <f>IF(AD404=21,J404,0)</f>
        <v>0</v>
      </c>
      <c r="AD404" s="19">
        <v>21</v>
      </c>
      <c r="AE404" s="19">
        <f>G404*1</f>
        <v>0</v>
      </c>
      <c r="AF404" s="19">
        <f>G404*(1-1)</f>
        <v>0</v>
      </c>
      <c r="AG404" s="16" t="s">
        <v>7</v>
      </c>
      <c r="AM404" s="19">
        <f>F404*AE404</f>
        <v>0</v>
      </c>
      <c r="AN404" s="19">
        <f>F404*AF404</f>
        <v>0</v>
      </c>
      <c r="AO404" s="20" t="s">
        <v>844</v>
      </c>
      <c r="AP404" s="20" t="s">
        <v>858</v>
      </c>
      <c r="AQ404" s="13" t="s">
        <v>859</v>
      </c>
      <c r="AS404" s="19">
        <f>AM404+AN404</f>
        <v>0</v>
      </c>
      <c r="AT404" s="19">
        <f>G404/(100-AU404)*100</f>
        <v>0</v>
      </c>
      <c r="AU404" s="19">
        <v>0</v>
      </c>
      <c r="AV404" s="19">
        <f>L404</f>
        <v>0.0054</v>
      </c>
    </row>
    <row r="405" spans="1:37" ht="12.75">
      <c r="A405" s="125"/>
      <c r="B405" s="126" t="s">
        <v>197</v>
      </c>
      <c r="C405" s="126" t="s">
        <v>395</v>
      </c>
      <c r="D405" s="126" t="s">
        <v>760</v>
      </c>
      <c r="E405" s="125" t="s">
        <v>6</v>
      </c>
      <c r="F405" s="125" t="s">
        <v>6</v>
      </c>
      <c r="G405" s="125" t="s">
        <v>6</v>
      </c>
      <c r="H405" s="127">
        <f>SUM(H406:H406)</f>
        <v>0</v>
      </c>
      <c r="I405" s="127">
        <f>SUM(I406:I406)</f>
        <v>0</v>
      </c>
      <c r="J405" s="127">
        <f>H405+I405</f>
        <v>0</v>
      </c>
      <c r="K405" s="128"/>
      <c r="L405" s="127">
        <f>SUM(L406:L406)</f>
        <v>0</v>
      </c>
      <c r="M405" s="128"/>
      <c r="Y405" s="13" t="s">
        <v>197</v>
      </c>
      <c r="AI405" s="22">
        <f>SUM(Z406:Z406)</f>
        <v>0</v>
      </c>
      <c r="AJ405" s="22">
        <f>SUM(AA406:AA406)</f>
        <v>0</v>
      </c>
      <c r="AK405" s="22">
        <f>SUM(AB406:AB406)</f>
        <v>0</v>
      </c>
    </row>
    <row r="406" spans="1:48" ht="12.75">
      <c r="A406" s="129" t="s">
        <v>189</v>
      </c>
      <c r="B406" s="129" t="s">
        <v>197</v>
      </c>
      <c r="C406" s="129" t="s">
        <v>396</v>
      </c>
      <c r="D406" s="129" t="s">
        <v>761</v>
      </c>
      <c r="E406" s="129" t="s">
        <v>778</v>
      </c>
      <c r="F406" s="130">
        <v>74.21</v>
      </c>
      <c r="G406" s="130">
        <v>0</v>
      </c>
      <c r="H406" s="130">
        <f>F406*AE406</f>
        <v>0</v>
      </c>
      <c r="I406" s="130">
        <f>J406-H406</f>
        <v>0</v>
      </c>
      <c r="J406" s="130">
        <f>F406*G406</f>
        <v>0</v>
      </c>
      <c r="K406" s="130">
        <v>0</v>
      </c>
      <c r="L406" s="130">
        <f>F406*K406</f>
        <v>0</v>
      </c>
      <c r="M406" s="131" t="s">
        <v>803</v>
      </c>
      <c r="P406" s="19">
        <f>IF(AG406="5",J406,0)</f>
        <v>0</v>
      </c>
      <c r="R406" s="19">
        <f>IF(AG406="1",H406,0)</f>
        <v>0</v>
      </c>
      <c r="S406" s="19">
        <f>IF(AG406="1",I406,0)</f>
        <v>0</v>
      </c>
      <c r="T406" s="19">
        <f>IF(AG406="7",H406,0)</f>
        <v>0</v>
      </c>
      <c r="U406" s="19">
        <f>IF(AG406="7",I406,0)</f>
        <v>0</v>
      </c>
      <c r="V406" s="19">
        <f>IF(AG406="2",H406,0)</f>
        <v>0</v>
      </c>
      <c r="W406" s="19">
        <f>IF(AG406="2",I406,0)</f>
        <v>0</v>
      </c>
      <c r="X406" s="19">
        <f>IF(AG406="0",J406,0)</f>
        <v>0</v>
      </c>
      <c r="Y406" s="13" t="s">
        <v>197</v>
      </c>
      <c r="Z406" s="10">
        <f>IF(AD406=0,J406,0)</f>
        <v>0</v>
      </c>
      <c r="AA406" s="10">
        <f>IF(AD406=15,J406,0)</f>
        <v>0</v>
      </c>
      <c r="AB406" s="10">
        <f>IF(AD406=21,J406,0)</f>
        <v>0</v>
      </c>
      <c r="AD406" s="19">
        <v>21</v>
      </c>
      <c r="AE406" s="19">
        <f>G406*0</f>
        <v>0</v>
      </c>
      <c r="AF406" s="19">
        <f>G406*(1-0)</f>
        <v>0</v>
      </c>
      <c r="AG406" s="15" t="s">
        <v>11</v>
      </c>
      <c r="AM406" s="19">
        <f>F406*AE406</f>
        <v>0</v>
      </c>
      <c r="AN406" s="19">
        <f>F406*AF406</f>
        <v>0</v>
      </c>
      <c r="AO406" s="20" t="s">
        <v>845</v>
      </c>
      <c r="AP406" s="20" t="s">
        <v>858</v>
      </c>
      <c r="AQ406" s="13" t="s">
        <v>859</v>
      </c>
      <c r="AS406" s="19">
        <f>AM406+AN406</f>
        <v>0</v>
      </c>
      <c r="AT406" s="19">
        <f>G406/(100-AU406)*100</f>
        <v>0</v>
      </c>
      <c r="AU406" s="19">
        <v>0</v>
      </c>
      <c r="AV406" s="19">
        <f>L406</f>
        <v>0</v>
      </c>
    </row>
    <row r="407" spans="1:37" ht="12.75">
      <c r="A407" s="125"/>
      <c r="B407" s="126" t="s">
        <v>197</v>
      </c>
      <c r="C407" s="126" t="s">
        <v>397</v>
      </c>
      <c r="D407" s="126" t="s">
        <v>762</v>
      </c>
      <c r="E407" s="125" t="s">
        <v>6</v>
      </c>
      <c r="F407" s="125" t="s">
        <v>6</v>
      </c>
      <c r="G407" s="125" t="s">
        <v>6</v>
      </c>
      <c r="H407" s="127">
        <f>SUM(H408:H414)</f>
        <v>0</v>
      </c>
      <c r="I407" s="127">
        <f>SUM(I408:I414)</f>
        <v>0</v>
      </c>
      <c r="J407" s="127">
        <f>H407+I407</f>
        <v>0</v>
      </c>
      <c r="K407" s="128"/>
      <c r="L407" s="127">
        <f>SUM(L408:L414)</f>
        <v>0.03852849999999999</v>
      </c>
      <c r="M407" s="128"/>
      <c r="Y407" s="13" t="s">
        <v>197</v>
      </c>
      <c r="AI407" s="22">
        <f>SUM(Z408:Z414)</f>
        <v>0</v>
      </c>
      <c r="AJ407" s="22">
        <f>SUM(AA408:AA414)</f>
        <v>0</v>
      </c>
      <c r="AK407" s="22">
        <f>SUM(AB408:AB414)</f>
        <v>0</v>
      </c>
    </row>
    <row r="408" spans="1:48" ht="12.75">
      <c r="A408" s="129" t="s">
        <v>190</v>
      </c>
      <c r="B408" s="129" t="s">
        <v>197</v>
      </c>
      <c r="C408" s="129" t="s">
        <v>398</v>
      </c>
      <c r="D408" s="129" t="s">
        <v>763</v>
      </c>
      <c r="E408" s="129" t="s">
        <v>779</v>
      </c>
      <c r="F408" s="130">
        <v>26.15</v>
      </c>
      <c r="G408" s="130">
        <v>0</v>
      </c>
      <c r="H408" s="130">
        <f>F408*AE408</f>
        <v>0</v>
      </c>
      <c r="I408" s="130">
        <f>J408-H408</f>
        <v>0</v>
      </c>
      <c r="J408" s="130">
        <f>F408*G408</f>
        <v>0</v>
      </c>
      <c r="K408" s="130">
        <v>0.00099</v>
      </c>
      <c r="L408" s="130">
        <f>F408*K408</f>
        <v>0.0258885</v>
      </c>
      <c r="M408" s="131" t="s">
        <v>803</v>
      </c>
      <c r="P408" s="19">
        <f>IF(AG408="5",J408,0)</f>
        <v>0</v>
      </c>
      <c r="R408" s="19">
        <f>IF(AG408="1",H408,0)</f>
        <v>0</v>
      </c>
      <c r="S408" s="19">
        <f>IF(AG408="1",I408,0)</f>
        <v>0</v>
      </c>
      <c r="T408" s="19">
        <f>IF(AG408="7",H408,0)</f>
        <v>0</v>
      </c>
      <c r="U408" s="19">
        <f>IF(AG408="7",I408,0)</f>
        <v>0</v>
      </c>
      <c r="V408" s="19">
        <f>IF(AG408="2",H408,0)</f>
        <v>0</v>
      </c>
      <c r="W408" s="19">
        <f>IF(AG408="2",I408,0)</f>
        <v>0</v>
      </c>
      <c r="X408" s="19">
        <f>IF(AG408="0",J408,0)</f>
        <v>0</v>
      </c>
      <c r="Y408" s="13" t="s">
        <v>197</v>
      </c>
      <c r="Z408" s="10">
        <f>IF(AD408=0,J408,0)</f>
        <v>0</v>
      </c>
      <c r="AA408" s="10">
        <f>IF(AD408=15,J408,0)</f>
        <v>0</v>
      </c>
      <c r="AB408" s="10">
        <f>IF(AD408=21,J408,0)</f>
        <v>0</v>
      </c>
      <c r="AD408" s="19">
        <v>21</v>
      </c>
      <c r="AE408" s="19">
        <f>G408*0.365159258755833</f>
        <v>0</v>
      </c>
      <c r="AF408" s="19">
        <f>G408*(1-0.365159258755833)</f>
        <v>0</v>
      </c>
      <c r="AG408" s="15" t="s">
        <v>8</v>
      </c>
      <c r="AM408" s="19">
        <f>F408*AE408</f>
        <v>0</v>
      </c>
      <c r="AN408" s="19">
        <f>F408*AF408</f>
        <v>0</v>
      </c>
      <c r="AO408" s="20" t="s">
        <v>846</v>
      </c>
      <c r="AP408" s="20" t="s">
        <v>858</v>
      </c>
      <c r="AQ408" s="13" t="s">
        <v>859</v>
      </c>
      <c r="AS408" s="19">
        <f>AM408+AN408</f>
        <v>0</v>
      </c>
      <c r="AT408" s="19">
        <f>G408/(100-AU408)*100</f>
        <v>0</v>
      </c>
      <c r="AU408" s="19">
        <v>0</v>
      </c>
      <c r="AV408" s="19">
        <f>L408</f>
        <v>0.0258885</v>
      </c>
    </row>
    <row r="409" spans="1:13" ht="12.75">
      <c r="A409" s="132"/>
      <c r="B409" s="132"/>
      <c r="C409" s="132"/>
      <c r="D409" s="133" t="s">
        <v>764</v>
      </c>
      <c r="E409" s="132"/>
      <c r="F409" s="134">
        <v>26.15</v>
      </c>
      <c r="G409" s="132"/>
      <c r="H409" s="132"/>
      <c r="I409" s="132"/>
      <c r="J409" s="132"/>
      <c r="K409" s="132"/>
      <c r="L409" s="132"/>
      <c r="M409" s="132"/>
    </row>
    <row r="410" spans="1:48" ht="12.75">
      <c r="A410" s="129" t="s">
        <v>191</v>
      </c>
      <c r="B410" s="129" t="s">
        <v>197</v>
      </c>
      <c r="C410" s="129" t="s">
        <v>399</v>
      </c>
      <c r="D410" s="129" t="s">
        <v>765</v>
      </c>
      <c r="E410" s="129" t="s">
        <v>779</v>
      </c>
      <c r="F410" s="130">
        <v>11.2</v>
      </c>
      <c r="G410" s="130">
        <v>0</v>
      </c>
      <c r="H410" s="130">
        <f>F410*AE410</f>
        <v>0</v>
      </c>
      <c r="I410" s="130">
        <f>J410-H410</f>
        <v>0</v>
      </c>
      <c r="J410" s="130">
        <f>F410*G410</f>
        <v>0</v>
      </c>
      <c r="K410" s="130">
        <v>0.00105</v>
      </c>
      <c r="L410" s="130">
        <f>F410*K410</f>
        <v>0.011759999999999998</v>
      </c>
      <c r="M410" s="131" t="s">
        <v>803</v>
      </c>
      <c r="P410" s="19">
        <f>IF(AG410="5",J410,0)</f>
        <v>0</v>
      </c>
      <c r="R410" s="19">
        <f>IF(AG410="1",H410,0)</f>
        <v>0</v>
      </c>
      <c r="S410" s="19">
        <f>IF(AG410="1",I410,0)</f>
        <v>0</v>
      </c>
      <c r="T410" s="19">
        <f>IF(AG410="7",H410,0)</f>
        <v>0</v>
      </c>
      <c r="U410" s="19">
        <f>IF(AG410="7",I410,0)</f>
        <v>0</v>
      </c>
      <c r="V410" s="19">
        <f>IF(AG410="2",H410,0)</f>
        <v>0</v>
      </c>
      <c r="W410" s="19">
        <f>IF(AG410="2",I410,0)</f>
        <v>0</v>
      </c>
      <c r="X410" s="19">
        <f>IF(AG410="0",J410,0)</f>
        <v>0</v>
      </c>
      <c r="Y410" s="13" t="s">
        <v>197</v>
      </c>
      <c r="Z410" s="10">
        <f>IF(AD410=0,J410,0)</f>
        <v>0</v>
      </c>
      <c r="AA410" s="10">
        <f>IF(AD410=15,J410,0)</f>
        <v>0</v>
      </c>
      <c r="AB410" s="10">
        <f>IF(AD410=21,J410,0)</f>
        <v>0</v>
      </c>
      <c r="AD410" s="19">
        <v>21</v>
      </c>
      <c r="AE410" s="19">
        <f>G410*0.365961538461538</f>
        <v>0</v>
      </c>
      <c r="AF410" s="19">
        <f>G410*(1-0.365961538461538)</f>
        <v>0</v>
      </c>
      <c r="AG410" s="15" t="s">
        <v>8</v>
      </c>
      <c r="AM410" s="19">
        <f>F410*AE410</f>
        <v>0</v>
      </c>
      <c r="AN410" s="19">
        <f>F410*AF410</f>
        <v>0</v>
      </c>
      <c r="AO410" s="20" t="s">
        <v>846</v>
      </c>
      <c r="AP410" s="20" t="s">
        <v>858</v>
      </c>
      <c r="AQ410" s="13" t="s">
        <v>859</v>
      </c>
      <c r="AS410" s="19">
        <f>AM410+AN410</f>
        <v>0</v>
      </c>
      <c r="AT410" s="19">
        <f>G410/(100-AU410)*100</f>
        <v>0</v>
      </c>
      <c r="AU410" s="19">
        <v>0</v>
      </c>
      <c r="AV410" s="19">
        <f>L410</f>
        <v>0.011759999999999998</v>
      </c>
    </row>
    <row r="411" spans="1:13" ht="12.75">
      <c r="A411" s="132"/>
      <c r="B411" s="132"/>
      <c r="C411" s="132"/>
      <c r="D411" s="133" t="s">
        <v>766</v>
      </c>
      <c r="E411" s="132"/>
      <c r="F411" s="134">
        <v>11.2</v>
      </c>
      <c r="G411" s="132"/>
      <c r="H411" s="132"/>
      <c r="I411" s="132"/>
      <c r="J411" s="132"/>
      <c r="K411" s="132"/>
      <c r="L411" s="132"/>
      <c r="M411" s="132"/>
    </row>
    <row r="412" spans="1:48" ht="12.75">
      <c r="A412" s="129" t="s">
        <v>192</v>
      </c>
      <c r="B412" s="129" t="s">
        <v>197</v>
      </c>
      <c r="C412" s="129" t="s">
        <v>400</v>
      </c>
      <c r="D412" s="129" t="s">
        <v>767</v>
      </c>
      <c r="E412" s="129" t="s">
        <v>777</v>
      </c>
      <c r="F412" s="130">
        <v>4</v>
      </c>
      <c r="G412" s="130">
        <v>0</v>
      </c>
      <c r="H412" s="130">
        <f>F412*AE412</f>
        <v>0</v>
      </c>
      <c r="I412" s="130">
        <f>J412-H412</f>
        <v>0</v>
      </c>
      <c r="J412" s="130">
        <f>F412*G412</f>
        <v>0</v>
      </c>
      <c r="K412" s="130">
        <v>0.00022</v>
      </c>
      <c r="L412" s="130">
        <f>F412*K412</f>
        <v>0.00088</v>
      </c>
      <c r="M412" s="131" t="s">
        <v>803</v>
      </c>
      <c r="P412" s="19">
        <f>IF(AG412="5",J412,0)</f>
        <v>0</v>
      </c>
      <c r="R412" s="19">
        <f>IF(AG412="1",H412,0)</f>
        <v>0</v>
      </c>
      <c r="S412" s="19">
        <f>IF(AG412="1",I412,0)</f>
        <v>0</v>
      </c>
      <c r="T412" s="19">
        <f>IF(AG412="7",H412,0)</f>
        <v>0</v>
      </c>
      <c r="U412" s="19">
        <f>IF(AG412="7",I412,0)</f>
        <v>0</v>
      </c>
      <c r="V412" s="19">
        <f>IF(AG412="2",H412,0)</f>
        <v>0</v>
      </c>
      <c r="W412" s="19">
        <f>IF(AG412="2",I412,0)</f>
        <v>0</v>
      </c>
      <c r="X412" s="19">
        <f>IF(AG412="0",J412,0)</f>
        <v>0</v>
      </c>
      <c r="Y412" s="13" t="s">
        <v>197</v>
      </c>
      <c r="Z412" s="10">
        <f>IF(AD412=0,J412,0)</f>
        <v>0</v>
      </c>
      <c r="AA412" s="10">
        <f>IF(AD412=15,J412,0)</f>
        <v>0</v>
      </c>
      <c r="AB412" s="10">
        <f>IF(AD412=21,J412,0)</f>
        <v>0</v>
      </c>
      <c r="AD412" s="19">
        <v>21</v>
      </c>
      <c r="AE412" s="19">
        <f>G412*0.128588588588589</f>
        <v>0</v>
      </c>
      <c r="AF412" s="19">
        <f>G412*(1-0.128588588588589)</f>
        <v>0</v>
      </c>
      <c r="AG412" s="15" t="s">
        <v>8</v>
      </c>
      <c r="AM412" s="19">
        <f>F412*AE412</f>
        <v>0</v>
      </c>
      <c r="AN412" s="19">
        <f>F412*AF412</f>
        <v>0</v>
      </c>
      <c r="AO412" s="20" t="s">
        <v>846</v>
      </c>
      <c r="AP412" s="20" t="s">
        <v>858</v>
      </c>
      <c r="AQ412" s="13" t="s">
        <v>859</v>
      </c>
      <c r="AS412" s="19">
        <f>AM412+AN412</f>
        <v>0</v>
      </c>
      <c r="AT412" s="19">
        <f>G412/(100-AU412)*100</f>
        <v>0</v>
      </c>
      <c r="AU412" s="19">
        <v>0</v>
      </c>
      <c r="AV412" s="19">
        <f>L412</f>
        <v>0.00088</v>
      </c>
    </row>
    <row r="413" spans="1:48" ht="12.75">
      <c r="A413" s="129" t="s">
        <v>193</v>
      </c>
      <c r="B413" s="129" t="s">
        <v>197</v>
      </c>
      <c r="C413" s="129" t="s">
        <v>401</v>
      </c>
      <c r="D413" s="129" t="s">
        <v>768</v>
      </c>
      <c r="E413" s="129" t="s">
        <v>779</v>
      </c>
      <c r="F413" s="130">
        <v>24.9</v>
      </c>
      <c r="G413" s="130">
        <v>0</v>
      </c>
      <c r="H413" s="130">
        <f>F413*AE413</f>
        <v>0</v>
      </c>
      <c r="I413" s="130">
        <f>J413-H413</f>
        <v>0</v>
      </c>
      <c r="J413" s="130">
        <f>F413*G413</f>
        <v>0</v>
      </c>
      <c r="K413" s="130">
        <v>0</v>
      </c>
      <c r="L413" s="130">
        <f>F413*K413</f>
        <v>0</v>
      </c>
      <c r="M413" s="131" t="s">
        <v>803</v>
      </c>
      <c r="P413" s="19">
        <f>IF(AG413="5",J413,0)</f>
        <v>0</v>
      </c>
      <c r="R413" s="19">
        <f>IF(AG413="1",H413,0)</f>
        <v>0</v>
      </c>
      <c r="S413" s="19">
        <f>IF(AG413="1",I413,0)</f>
        <v>0</v>
      </c>
      <c r="T413" s="19">
        <f>IF(AG413="7",H413,0)</f>
        <v>0</v>
      </c>
      <c r="U413" s="19">
        <f>IF(AG413="7",I413,0)</f>
        <v>0</v>
      </c>
      <c r="V413" s="19">
        <f>IF(AG413="2",H413,0)</f>
        <v>0</v>
      </c>
      <c r="W413" s="19">
        <f>IF(AG413="2",I413,0)</f>
        <v>0</v>
      </c>
      <c r="X413" s="19">
        <f>IF(AG413="0",J413,0)</f>
        <v>0</v>
      </c>
      <c r="Y413" s="13" t="s">
        <v>197</v>
      </c>
      <c r="Z413" s="10">
        <f>IF(AD413=0,J413,0)</f>
        <v>0</v>
      </c>
      <c r="AA413" s="10">
        <f>IF(AD413=15,J413,0)</f>
        <v>0</v>
      </c>
      <c r="AB413" s="10">
        <f>IF(AD413=21,J413,0)</f>
        <v>0</v>
      </c>
      <c r="AD413" s="19">
        <v>21</v>
      </c>
      <c r="AE413" s="19">
        <f>G413*0</f>
        <v>0</v>
      </c>
      <c r="AF413" s="19">
        <f>G413*(1-0)</f>
        <v>0</v>
      </c>
      <c r="AG413" s="15" t="s">
        <v>8</v>
      </c>
      <c r="AM413" s="19">
        <f>F413*AE413</f>
        <v>0</v>
      </c>
      <c r="AN413" s="19">
        <f>F413*AF413</f>
        <v>0</v>
      </c>
      <c r="AO413" s="20" t="s">
        <v>846</v>
      </c>
      <c r="AP413" s="20" t="s">
        <v>858</v>
      </c>
      <c r="AQ413" s="13" t="s">
        <v>859</v>
      </c>
      <c r="AS413" s="19">
        <f>AM413+AN413</f>
        <v>0</v>
      </c>
      <c r="AT413" s="19">
        <f>G413/(100-AU413)*100</f>
        <v>0</v>
      </c>
      <c r="AU413" s="19">
        <v>0</v>
      </c>
      <c r="AV413" s="19">
        <f>L413</f>
        <v>0</v>
      </c>
    </row>
    <row r="414" spans="1:48" ht="12.75">
      <c r="A414" s="129" t="s">
        <v>194</v>
      </c>
      <c r="B414" s="129" t="s">
        <v>197</v>
      </c>
      <c r="C414" s="129" t="s">
        <v>402</v>
      </c>
      <c r="D414" s="129" t="s">
        <v>769</v>
      </c>
      <c r="E414" s="129" t="s">
        <v>782</v>
      </c>
      <c r="F414" s="130">
        <v>1</v>
      </c>
      <c r="G414" s="130">
        <v>0</v>
      </c>
      <c r="H414" s="130">
        <f>F414*AE414</f>
        <v>0</v>
      </c>
      <c r="I414" s="130">
        <f>J414-H414</f>
        <v>0</v>
      </c>
      <c r="J414" s="130">
        <f>F414*G414</f>
        <v>0</v>
      </c>
      <c r="K414" s="130">
        <v>0</v>
      </c>
      <c r="L414" s="130">
        <f>F414*K414</f>
        <v>0</v>
      </c>
      <c r="M414" s="131" t="s">
        <v>805</v>
      </c>
      <c r="P414" s="19">
        <f>IF(AG414="5",J414,0)</f>
        <v>0</v>
      </c>
      <c r="R414" s="19">
        <f>IF(AG414="1",H414,0)</f>
        <v>0</v>
      </c>
      <c r="S414" s="19">
        <f>IF(AG414="1",I414,0)</f>
        <v>0</v>
      </c>
      <c r="T414" s="19">
        <f>IF(AG414="7",H414,0)</f>
        <v>0</v>
      </c>
      <c r="U414" s="19">
        <f>IF(AG414="7",I414,0)</f>
        <v>0</v>
      </c>
      <c r="V414" s="19">
        <f>IF(AG414="2",H414,0)</f>
        <v>0</v>
      </c>
      <c r="W414" s="19">
        <f>IF(AG414="2",I414,0)</f>
        <v>0</v>
      </c>
      <c r="X414" s="19">
        <f>IF(AG414="0",J414,0)</f>
        <v>0</v>
      </c>
      <c r="Y414" s="13" t="s">
        <v>197</v>
      </c>
      <c r="Z414" s="10">
        <f>IF(AD414=0,J414,0)</f>
        <v>0</v>
      </c>
      <c r="AA414" s="10">
        <f>IF(AD414=15,J414,0)</f>
        <v>0</v>
      </c>
      <c r="AB414" s="10">
        <f>IF(AD414=21,J414,0)</f>
        <v>0</v>
      </c>
      <c r="AD414" s="19">
        <v>21</v>
      </c>
      <c r="AE414" s="19">
        <f>G414*0</f>
        <v>0</v>
      </c>
      <c r="AF414" s="19">
        <f>G414*(1-0)</f>
        <v>0</v>
      </c>
      <c r="AG414" s="15" t="s">
        <v>8</v>
      </c>
      <c r="AM414" s="19">
        <f>F414*AE414</f>
        <v>0</v>
      </c>
      <c r="AN414" s="19">
        <f>F414*AF414</f>
        <v>0</v>
      </c>
      <c r="AO414" s="20" t="s">
        <v>846</v>
      </c>
      <c r="AP414" s="20" t="s">
        <v>858</v>
      </c>
      <c r="AQ414" s="13" t="s">
        <v>859</v>
      </c>
      <c r="AS414" s="19">
        <f>AM414+AN414</f>
        <v>0</v>
      </c>
      <c r="AT414" s="19">
        <f>G414/(100-AU414)*100</f>
        <v>0</v>
      </c>
      <c r="AU414" s="19">
        <v>0</v>
      </c>
      <c r="AV414" s="19">
        <f>L414</f>
        <v>0</v>
      </c>
    </row>
    <row r="415" spans="1:13" ht="12.75">
      <c r="A415" s="138"/>
      <c r="B415" s="138"/>
      <c r="C415" s="138"/>
      <c r="D415" s="138"/>
      <c r="E415" s="138"/>
      <c r="F415" s="138"/>
      <c r="G415" s="138"/>
      <c r="H415" s="139" t="s">
        <v>791</v>
      </c>
      <c r="I415" s="140"/>
      <c r="J415" s="141">
        <f>ROUND(J13+J18+J23+J31+J37+J66+J88+J96+J103+J159+J167+J174+J178+J199+J203+J210+J231+J249+J271+J274+J283+J285+J310+J333+J348+J368+J383+J389+J398+J400+J405+J407,0)</f>
        <v>0</v>
      </c>
      <c r="K415" s="138"/>
      <c r="L415" s="138"/>
      <c r="M415" s="138"/>
    </row>
    <row r="416" spans="1:13" ht="11.25" customHeight="1">
      <c r="A416" s="142" t="s">
        <v>195</v>
      </c>
      <c r="B416" s="132"/>
      <c r="C416" s="132"/>
      <c r="D416" s="132"/>
      <c r="E416" s="132"/>
      <c r="F416" s="132"/>
      <c r="G416" s="132"/>
      <c r="H416" s="132"/>
      <c r="I416" s="132"/>
      <c r="J416" s="132"/>
      <c r="K416" s="132"/>
      <c r="L416" s="132"/>
      <c r="M416" s="132"/>
    </row>
    <row r="417" spans="1:13" ht="12.75">
      <c r="A417" s="143"/>
      <c r="B417" s="144"/>
      <c r="C417" s="144"/>
      <c r="D417" s="144"/>
      <c r="E417" s="144"/>
      <c r="F417" s="144"/>
      <c r="G417" s="144"/>
      <c r="H417" s="144"/>
      <c r="I417" s="144"/>
      <c r="J417" s="144"/>
      <c r="K417" s="144"/>
      <c r="L417" s="144"/>
      <c r="M417" s="144"/>
    </row>
  </sheetData>
  <sheetProtection/>
  <mergeCells count="29">
    <mergeCell ref="H10:J10"/>
    <mergeCell ref="K10:L10"/>
    <mergeCell ref="H415:I415"/>
    <mergeCell ref="A417:M417"/>
    <mergeCell ref="A8:C9"/>
    <mergeCell ref="D8:D9"/>
    <mergeCell ref="E8:F9"/>
    <mergeCell ref="G8:H9"/>
    <mergeCell ref="I8:I9"/>
    <mergeCell ref="J8:M9"/>
    <mergeCell ref="A6:C7"/>
    <mergeCell ref="D6:D7"/>
    <mergeCell ref="E6:F7"/>
    <mergeCell ref="G6:H7"/>
    <mergeCell ref="I6:I7"/>
    <mergeCell ref="J6:M7"/>
    <mergeCell ref="A4:C5"/>
    <mergeCell ref="D4:D5"/>
    <mergeCell ref="E4:F5"/>
    <mergeCell ref="G4:H5"/>
    <mergeCell ref="I4:I5"/>
    <mergeCell ref="J4:M5"/>
    <mergeCell ref="A1:M1"/>
    <mergeCell ref="A2:C3"/>
    <mergeCell ref="D2:D3"/>
    <mergeCell ref="E2:F3"/>
    <mergeCell ref="G2:H3"/>
    <mergeCell ref="I2:I3"/>
    <mergeCell ref="J2:M3"/>
  </mergeCells>
  <printOptions/>
  <pageMargins left="0.394" right="0.394" top="0.591" bottom="0.591" header="0.5" footer="0.5"/>
  <pageSetup fitToHeight="0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PageLayoutView="0" workbookViewId="0" topLeftCell="A1">
      <pane ySplit="10" topLeftCell="A29" activePane="bottomLeft" state="frozen"/>
      <selection pane="topLeft" activeCell="A1" sqref="A1"/>
      <selection pane="bottomLeft" activeCell="A11" sqref="A11:G11"/>
    </sheetView>
  </sheetViews>
  <sheetFormatPr defaultColWidth="11.57421875" defaultRowHeight="12.75"/>
  <cols>
    <col min="1" max="2" width="16.57421875" style="0" customWidth="1"/>
    <col min="3" max="3" width="41.7109375" style="0" customWidth="1"/>
    <col min="4" max="4" width="22.140625" style="0" customWidth="1"/>
    <col min="5" max="5" width="21.00390625" style="0" customWidth="1"/>
    <col min="6" max="6" width="20.8515625" style="0" customWidth="1"/>
    <col min="7" max="7" width="19.7109375" style="0" customWidth="1"/>
    <col min="8" max="9" width="0" style="0" hidden="1" customWidth="1"/>
  </cols>
  <sheetData>
    <row r="1" spans="1:7" ht="72.75" customHeight="1">
      <c r="A1" s="56" t="s">
        <v>860</v>
      </c>
      <c r="B1" s="57"/>
      <c r="C1" s="57"/>
      <c r="D1" s="57"/>
      <c r="E1" s="57"/>
      <c r="F1" s="57"/>
      <c r="G1" s="57"/>
    </row>
    <row r="2" spans="1:8" ht="12.75">
      <c r="A2" s="58" t="s">
        <v>1</v>
      </c>
      <c r="B2" s="62" t="str">
        <f>'Stavební rozpočet'!D2</f>
        <v>Objekt zázemí,pergoly a přemíst. podia v areálu HZ Michálkovice</v>
      </c>
      <c r="C2" s="77"/>
      <c r="D2" s="65" t="s">
        <v>792</v>
      </c>
      <c r="E2" s="65" t="str">
        <f>'Stavební rozpočet'!J2</f>
        <v>MO Michálkovice, ČA 325/106, Ostrava</v>
      </c>
      <c r="F2" s="59"/>
      <c r="G2" s="66"/>
      <c r="H2" s="17"/>
    </row>
    <row r="3" spans="1:8" ht="12.75">
      <c r="A3" s="60"/>
      <c r="B3" s="63"/>
      <c r="C3" s="63"/>
      <c r="D3" s="61"/>
      <c r="E3" s="61"/>
      <c r="F3" s="61"/>
      <c r="G3" s="67"/>
      <c r="H3" s="17"/>
    </row>
    <row r="4" spans="1:8" ht="12.75">
      <c r="A4" s="68" t="s">
        <v>2</v>
      </c>
      <c r="B4" s="69" t="str">
        <f>'Stavební rozpočet'!D4</f>
        <v>Novostavba -SO 01 Zázemí, bufet</v>
      </c>
      <c r="C4" s="61"/>
      <c r="D4" s="69" t="s">
        <v>793</v>
      </c>
      <c r="E4" s="69" t="str">
        <f>'Stavební rozpočet'!J4</f>
        <v> </v>
      </c>
      <c r="F4" s="61"/>
      <c r="G4" s="67"/>
      <c r="H4" s="17"/>
    </row>
    <row r="5" spans="1:8" ht="12.75">
      <c r="A5" s="60"/>
      <c r="B5" s="61"/>
      <c r="C5" s="61"/>
      <c r="D5" s="61"/>
      <c r="E5" s="61"/>
      <c r="F5" s="61"/>
      <c r="G5" s="67"/>
      <c r="H5" s="17"/>
    </row>
    <row r="6" spans="1:8" ht="12.75">
      <c r="A6" s="68" t="s">
        <v>3</v>
      </c>
      <c r="B6" s="69" t="str">
        <f>'Stavební rozpočet'!D6</f>
        <v>Ostrava-Michálkovice</v>
      </c>
      <c r="C6" s="61"/>
      <c r="D6" s="69" t="s">
        <v>794</v>
      </c>
      <c r="E6" s="69" t="str">
        <f>'Stavební rozpočet'!J6</f>
        <v> </v>
      </c>
      <c r="F6" s="61"/>
      <c r="G6" s="67"/>
      <c r="H6" s="17"/>
    </row>
    <row r="7" spans="1:8" ht="12.75">
      <c r="A7" s="60"/>
      <c r="B7" s="61"/>
      <c r="C7" s="61"/>
      <c r="D7" s="61"/>
      <c r="E7" s="61"/>
      <c r="F7" s="61"/>
      <c r="G7" s="67"/>
      <c r="H7" s="17"/>
    </row>
    <row r="8" spans="1:8" ht="12.75">
      <c r="A8" s="68" t="s">
        <v>795</v>
      </c>
      <c r="B8" s="69" t="str">
        <f>'Stavební rozpočet'!J8</f>
        <v>R.Šípek</v>
      </c>
      <c r="C8" s="61"/>
      <c r="D8" s="70" t="s">
        <v>773</v>
      </c>
      <c r="E8" s="69" t="str">
        <f>'Stavební rozpočet'!G8</f>
        <v>01.06.2018</v>
      </c>
      <c r="F8" s="61"/>
      <c r="G8" s="67"/>
      <c r="H8" s="17"/>
    </row>
    <row r="9" spans="1:8" ht="13.5" thickBot="1">
      <c r="A9" s="71"/>
      <c r="B9" s="72"/>
      <c r="C9" s="72"/>
      <c r="D9" s="72"/>
      <c r="E9" s="72"/>
      <c r="F9" s="72"/>
      <c r="G9" s="73"/>
      <c r="H9" s="17"/>
    </row>
    <row r="10" spans="1:8" ht="12.75">
      <c r="A10" s="149" t="s">
        <v>196</v>
      </c>
      <c r="B10" s="1" t="s">
        <v>198</v>
      </c>
      <c r="C10" s="6" t="s">
        <v>406</v>
      </c>
      <c r="D10" s="9" t="s">
        <v>861</v>
      </c>
      <c r="E10" s="9" t="s">
        <v>862</v>
      </c>
      <c r="F10" s="9" t="s">
        <v>863</v>
      </c>
      <c r="G10" s="12" t="s">
        <v>864</v>
      </c>
      <c r="H10" s="18"/>
    </row>
    <row r="11" spans="1:9" ht="12.75">
      <c r="A11" s="153" t="s">
        <v>197</v>
      </c>
      <c r="B11" s="153"/>
      <c r="C11" s="153" t="s">
        <v>408</v>
      </c>
      <c r="D11" s="154">
        <f>'Stavební rozpočet'!H12</f>
        <v>0</v>
      </c>
      <c r="E11" s="154">
        <f>'Stavební rozpočet'!I12</f>
        <v>0</v>
      </c>
      <c r="F11" s="154">
        <f aca="true" t="shared" si="0" ref="F11:F43">D11+E11</f>
        <v>0</v>
      </c>
      <c r="G11" s="154">
        <f>'Stavební rozpočet'!L12</f>
        <v>80.47195090000001</v>
      </c>
      <c r="H11" s="19" t="s">
        <v>865</v>
      </c>
      <c r="I11" s="19">
        <f aca="true" t="shared" si="1" ref="I11:I43">IF(H11="F",0,F11)</f>
        <v>0</v>
      </c>
    </row>
    <row r="12" spans="1:9" ht="12.75">
      <c r="A12" s="150" t="s">
        <v>197</v>
      </c>
      <c r="B12" s="150" t="s">
        <v>18</v>
      </c>
      <c r="C12" s="150" t="s">
        <v>409</v>
      </c>
      <c r="D12" s="151">
        <f>'Stavební rozpočet'!H13</f>
        <v>0</v>
      </c>
      <c r="E12" s="151">
        <f>'Stavební rozpočet'!I13</f>
        <v>0</v>
      </c>
      <c r="F12" s="151">
        <f t="shared" si="0"/>
        <v>0</v>
      </c>
      <c r="G12" s="151">
        <f>'Stavební rozpočet'!L13</f>
        <v>0</v>
      </c>
      <c r="H12" s="19" t="s">
        <v>866</v>
      </c>
      <c r="I12" s="19">
        <f t="shared" si="1"/>
        <v>0</v>
      </c>
    </row>
    <row r="13" spans="1:9" ht="12.75">
      <c r="A13" s="150" t="s">
        <v>197</v>
      </c>
      <c r="B13" s="150" t="s">
        <v>19</v>
      </c>
      <c r="C13" s="150" t="s">
        <v>414</v>
      </c>
      <c r="D13" s="151">
        <f>'Stavební rozpočet'!H18</f>
        <v>0</v>
      </c>
      <c r="E13" s="151">
        <f>'Stavební rozpočet'!I18</f>
        <v>0</v>
      </c>
      <c r="F13" s="151">
        <f t="shared" si="0"/>
        <v>0</v>
      </c>
      <c r="G13" s="151">
        <f>'Stavební rozpočet'!L18</f>
        <v>0</v>
      </c>
      <c r="H13" s="19" t="s">
        <v>866</v>
      </c>
      <c r="I13" s="19">
        <f t="shared" si="1"/>
        <v>0</v>
      </c>
    </row>
    <row r="14" spans="1:9" ht="12.75">
      <c r="A14" s="150" t="s">
        <v>197</v>
      </c>
      <c r="B14" s="150" t="s">
        <v>22</v>
      </c>
      <c r="C14" s="150" t="s">
        <v>419</v>
      </c>
      <c r="D14" s="151">
        <f>'Stavební rozpočet'!H23</f>
        <v>0</v>
      </c>
      <c r="E14" s="151">
        <f>'Stavební rozpočet'!I23</f>
        <v>0</v>
      </c>
      <c r="F14" s="151">
        <f t="shared" si="0"/>
        <v>0</v>
      </c>
      <c r="G14" s="151">
        <f>'Stavební rozpočet'!L23</f>
        <v>0</v>
      </c>
      <c r="H14" s="19" t="s">
        <v>866</v>
      </c>
      <c r="I14" s="19">
        <f t="shared" si="1"/>
        <v>0</v>
      </c>
    </row>
    <row r="15" spans="1:9" ht="12.75">
      <c r="A15" s="150" t="s">
        <v>197</v>
      </c>
      <c r="B15" s="150" t="s">
        <v>23</v>
      </c>
      <c r="C15" s="150" t="s">
        <v>427</v>
      </c>
      <c r="D15" s="151">
        <f>'Stavební rozpočet'!H31</f>
        <v>0</v>
      </c>
      <c r="E15" s="151">
        <f>'Stavební rozpočet'!I31</f>
        <v>0</v>
      </c>
      <c r="F15" s="151">
        <f t="shared" si="0"/>
        <v>0</v>
      </c>
      <c r="G15" s="151">
        <f>'Stavební rozpočet'!L31</f>
        <v>2.533</v>
      </c>
      <c r="H15" s="19" t="s">
        <v>866</v>
      </c>
      <c r="I15" s="19">
        <f t="shared" si="1"/>
        <v>0</v>
      </c>
    </row>
    <row r="16" spans="1:9" ht="12.75">
      <c r="A16" s="150" t="s">
        <v>197</v>
      </c>
      <c r="B16" s="150" t="s">
        <v>33</v>
      </c>
      <c r="C16" s="150" t="s">
        <v>433</v>
      </c>
      <c r="D16" s="151">
        <f>'Stavební rozpočet'!H37</f>
        <v>0</v>
      </c>
      <c r="E16" s="151">
        <f>'Stavební rozpočet'!I37</f>
        <v>0</v>
      </c>
      <c r="F16" s="151">
        <f t="shared" si="0"/>
        <v>0</v>
      </c>
      <c r="G16" s="151">
        <f>'Stavební rozpočet'!L37</f>
        <v>45.5645096</v>
      </c>
      <c r="H16" s="19" t="s">
        <v>866</v>
      </c>
      <c r="I16" s="19">
        <f t="shared" si="1"/>
        <v>0</v>
      </c>
    </row>
    <row r="17" spans="1:9" ht="12.75">
      <c r="A17" s="150" t="s">
        <v>197</v>
      </c>
      <c r="B17" s="150" t="s">
        <v>37</v>
      </c>
      <c r="C17" s="150" t="s">
        <v>462</v>
      </c>
      <c r="D17" s="151">
        <f>'Stavební rozpočet'!H66</f>
        <v>0</v>
      </c>
      <c r="E17" s="151">
        <f>'Stavební rozpočet'!I66</f>
        <v>0</v>
      </c>
      <c r="F17" s="151">
        <f t="shared" si="0"/>
        <v>0</v>
      </c>
      <c r="G17" s="151">
        <f>'Stavební rozpočet'!L66</f>
        <v>9.221439</v>
      </c>
      <c r="H17" s="19" t="s">
        <v>866</v>
      </c>
      <c r="I17" s="19">
        <f t="shared" si="1"/>
        <v>0</v>
      </c>
    </row>
    <row r="18" spans="1:9" ht="12.75">
      <c r="A18" s="150" t="s">
        <v>197</v>
      </c>
      <c r="B18" s="150" t="s">
        <v>40</v>
      </c>
      <c r="C18" s="150" t="s">
        <v>484</v>
      </c>
      <c r="D18" s="151">
        <f>'Stavební rozpočet'!H88</f>
        <v>0</v>
      </c>
      <c r="E18" s="151">
        <f>'Stavební rozpočet'!I88</f>
        <v>0</v>
      </c>
      <c r="F18" s="151">
        <f t="shared" si="0"/>
        <v>0</v>
      </c>
      <c r="G18" s="151">
        <f>'Stavební rozpočet'!L88</f>
        <v>3.2131020000000006</v>
      </c>
      <c r="H18" s="19" t="s">
        <v>866</v>
      </c>
      <c r="I18" s="19">
        <f t="shared" si="1"/>
        <v>0</v>
      </c>
    </row>
    <row r="19" spans="1:9" ht="12.75">
      <c r="A19" s="150" t="s">
        <v>197</v>
      </c>
      <c r="B19" s="150" t="s">
        <v>47</v>
      </c>
      <c r="C19" s="150" t="s">
        <v>492</v>
      </c>
      <c r="D19" s="151">
        <f>'Stavební rozpočet'!H96</f>
        <v>0</v>
      </c>
      <c r="E19" s="151">
        <f>'Stavební rozpočet'!I96</f>
        <v>0</v>
      </c>
      <c r="F19" s="151">
        <f t="shared" si="0"/>
        <v>0</v>
      </c>
      <c r="G19" s="151">
        <f>'Stavební rozpočet'!L96</f>
        <v>3.6876011</v>
      </c>
      <c r="H19" s="19" t="s">
        <v>866</v>
      </c>
      <c r="I19" s="19">
        <f t="shared" si="1"/>
        <v>0</v>
      </c>
    </row>
    <row r="20" spans="1:9" ht="12.75">
      <c r="A20" s="150" t="s">
        <v>197</v>
      </c>
      <c r="B20" s="150" t="s">
        <v>66</v>
      </c>
      <c r="C20" s="150" t="s">
        <v>499</v>
      </c>
      <c r="D20" s="151">
        <f>'Stavební rozpočet'!H103</f>
        <v>0</v>
      </c>
      <c r="E20" s="151">
        <f>'Stavební rozpočet'!I103</f>
        <v>0</v>
      </c>
      <c r="F20" s="151">
        <f t="shared" si="0"/>
        <v>0</v>
      </c>
      <c r="G20" s="151">
        <f>'Stavební rozpočet'!L103</f>
        <v>2.8889270000000002</v>
      </c>
      <c r="H20" s="19" t="s">
        <v>866</v>
      </c>
      <c r="I20" s="19">
        <f t="shared" si="1"/>
        <v>0</v>
      </c>
    </row>
    <row r="21" spans="1:9" ht="12.75">
      <c r="A21" s="150" t="s">
        <v>197</v>
      </c>
      <c r="B21" s="150" t="s">
        <v>68</v>
      </c>
      <c r="C21" s="150" t="s">
        <v>530</v>
      </c>
      <c r="D21" s="151">
        <f>'Stavební rozpočet'!H159</f>
        <v>0</v>
      </c>
      <c r="E21" s="151">
        <f>'Stavební rozpočet'!I159</f>
        <v>0</v>
      </c>
      <c r="F21" s="151">
        <f t="shared" si="0"/>
        <v>0</v>
      </c>
      <c r="G21" s="151">
        <f>'Stavební rozpočet'!L159</f>
        <v>0.004262</v>
      </c>
      <c r="H21" s="19" t="s">
        <v>866</v>
      </c>
      <c r="I21" s="19">
        <f t="shared" si="1"/>
        <v>0</v>
      </c>
    </row>
    <row r="22" spans="1:9" ht="12.75">
      <c r="A22" s="150" t="s">
        <v>197</v>
      </c>
      <c r="B22" s="150" t="s">
        <v>69</v>
      </c>
      <c r="C22" s="150" t="s">
        <v>538</v>
      </c>
      <c r="D22" s="151">
        <f>'Stavební rozpočet'!H167</f>
        <v>0</v>
      </c>
      <c r="E22" s="151">
        <f>'Stavební rozpočet'!I167</f>
        <v>0</v>
      </c>
      <c r="F22" s="151">
        <f t="shared" si="0"/>
        <v>0</v>
      </c>
      <c r="G22" s="151">
        <f>'Stavební rozpočet'!L167</f>
        <v>6.9771422</v>
      </c>
      <c r="H22" s="19" t="s">
        <v>866</v>
      </c>
      <c r="I22" s="19">
        <f t="shared" si="1"/>
        <v>0</v>
      </c>
    </row>
    <row r="23" spans="1:9" ht="12.75">
      <c r="A23" s="150" t="s">
        <v>197</v>
      </c>
      <c r="B23" s="150" t="s">
        <v>70</v>
      </c>
      <c r="C23" s="150" t="s">
        <v>545</v>
      </c>
      <c r="D23" s="151">
        <f>'Stavební rozpočet'!H174</f>
        <v>0</v>
      </c>
      <c r="E23" s="151">
        <f>'Stavební rozpočet'!I174</f>
        <v>0</v>
      </c>
      <c r="F23" s="151">
        <f t="shared" si="0"/>
        <v>0</v>
      </c>
      <c r="G23" s="151">
        <f>'Stavební rozpočet'!L174</f>
        <v>0.0688</v>
      </c>
      <c r="H23" s="19" t="s">
        <v>866</v>
      </c>
      <c r="I23" s="19">
        <f t="shared" si="1"/>
        <v>0</v>
      </c>
    </row>
    <row r="24" spans="1:9" ht="12.75">
      <c r="A24" s="150" t="s">
        <v>197</v>
      </c>
      <c r="B24" s="150" t="s">
        <v>248</v>
      </c>
      <c r="C24" s="150" t="s">
        <v>549</v>
      </c>
      <c r="D24" s="151">
        <f>'Stavební rozpočet'!H178</f>
        <v>0</v>
      </c>
      <c r="E24" s="151">
        <f>'Stavební rozpočet'!I178</f>
        <v>0</v>
      </c>
      <c r="F24" s="151">
        <f t="shared" si="0"/>
        <v>0</v>
      </c>
      <c r="G24" s="151">
        <f>'Stavební rozpočet'!L178</f>
        <v>0.33897510000000003</v>
      </c>
      <c r="H24" s="19" t="s">
        <v>866</v>
      </c>
      <c r="I24" s="19">
        <f t="shared" si="1"/>
        <v>0</v>
      </c>
    </row>
    <row r="25" spans="1:9" ht="12.75">
      <c r="A25" s="150" t="s">
        <v>197</v>
      </c>
      <c r="B25" s="150" t="s">
        <v>259</v>
      </c>
      <c r="C25" s="150" t="s">
        <v>568</v>
      </c>
      <c r="D25" s="151">
        <f>'Stavební rozpočet'!H199</f>
        <v>0</v>
      </c>
      <c r="E25" s="151">
        <f>'Stavební rozpočet'!I199</f>
        <v>0</v>
      </c>
      <c r="F25" s="151">
        <f t="shared" si="0"/>
        <v>0</v>
      </c>
      <c r="G25" s="151">
        <f>'Stavební rozpočet'!L199</f>
        <v>0.5614182000000001</v>
      </c>
      <c r="H25" s="19" t="s">
        <v>866</v>
      </c>
      <c r="I25" s="19">
        <f t="shared" si="1"/>
        <v>0</v>
      </c>
    </row>
    <row r="26" spans="1:9" ht="12.75">
      <c r="A26" s="150" t="s">
        <v>197</v>
      </c>
      <c r="B26" s="150" t="s">
        <v>262</v>
      </c>
      <c r="C26" s="150" t="s">
        <v>572</v>
      </c>
      <c r="D26" s="151">
        <f>'Stavební rozpočet'!H203</f>
        <v>0</v>
      </c>
      <c r="E26" s="151">
        <f>'Stavební rozpočet'!I203</f>
        <v>0</v>
      </c>
      <c r="F26" s="151">
        <f t="shared" si="0"/>
        <v>0</v>
      </c>
      <c r="G26" s="151">
        <f>'Stavební rozpočet'!L203</f>
        <v>0.2669807</v>
      </c>
      <c r="H26" s="19" t="s">
        <v>866</v>
      </c>
      <c r="I26" s="19">
        <f t="shared" si="1"/>
        <v>0</v>
      </c>
    </row>
    <row r="27" spans="1:9" ht="12.75">
      <c r="A27" s="150" t="s">
        <v>197</v>
      </c>
      <c r="B27" s="150" t="s">
        <v>267</v>
      </c>
      <c r="C27" s="150" t="s">
        <v>579</v>
      </c>
      <c r="D27" s="151">
        <f>'Stavební rozpočet'!H210</f>
        <v>0</v>
      </c>
      <c r="E27" s="151">
        <f>'Stavební rozpočet'!I210</f>
        <v>0</v>
      </c>
      <c r="F27" s="151">
        <f t="shared" si="0"/>
        <v>0</v>
      </c>
      <c r="G27" s="151">
        <f>'Stavební rozpočet'!L210</f>
        <v>0.035746</v>
      </c>
      <c r="H27" s="19" t="s">
        <v>866</v>
      </c>
      <c r="I27" s="19">
        <f t="shared" si="1"/>
        <v>0</v>
      </c>
    </row>
    <row r="28" spans="1:9" ht="12.75">
      <c r="A28" s="150" t="s">
        <v>197</v>
      </c>
      <c r="B28" s="150" t="s">
        <v>280</v>
      </c>
      <c r="C28" s="150" t="s">
        <v>597</v>
      </c>
      <c r="D28" s="151">
        <f>'Stavební rozpočet'!H231</f>
        <v>0</v>
      </c>
      <c r="E28" s="151">
        <f>'Stavební rozpočet'!I231</f>
        <v>0</v>
      </c>
      <c r="F28" s="151">
        <f t="shared" si="0"/>
        <v>0</v>
      </c>
      <c r="G28" s="151">
        <f>'Stavební rozpočet'!L231</f>
        <v>0.02495</v>
      </c>
      <c r="H28" s="19" t="s">
        <v>866</v>
      </c>
      <c r="I28" s="19">
        <f t="shared" si="1"/>
        <v>0</v>
      </c>
    </row>
    <row r="29" spans="1:9" ht="12.75">
      <c r="A29" s="150" t="s">
        <v>197</v>
      </c>
      <c r="B29" s="150" t="s">
        <v>297</v>
      </c>
      <c r="C29" s="150" t="s">
        <v>613</v>
      </c>
      <c r="D29" s="151">
        <f>'Stavební rozpočet'!H249</f>
        <v>0</v>
      </c>
      <c r="E29" s="151">
        <f>'Stavební rozpočet'!I249</f>
        <v>0</v>
      </c>
      <c r="F29" s="151">
        <f t="shared" si="0"/>
        <v>0</v>
      </c>
      <c r="G29" s="151">
        <f>'Stavební rozpočet'!L249</f>
        <v>0.22771000000000002</v>
      </c>
      <c r="H29" s="19" t="s">
        <v>866</v>
      </c>
      <c r="I29" s="19">
        <f t="shared" si="1"/>
        <v>0</v>
      </c>
    </row>
    <row r="30" spans="1:9" ht="12.75">
      <c r="A30" s="150" t="s">
        <v>197</v>
      </c>
      <c r="B30" s="150" t="s">
        <v>319</v>
      </c>
      <c r="C30" s="150" t="s">
        <v>635</v>
      </c>
      <c r="D30" s="151">
        <f>'Stavební rozpočet'!H271</f>
        <v>0</v>
      </c>
      <c r="E30" s="151">
        <f>'Stavební rozpočet'!I271</f>
        <v>0</v>
      </c>
      <c r="F30" s="151">
        <f t="shared" si="0"/>
        <v>0</v>
      </c>
      <c r="G30" s="151">
        <f>'Stavební rozpočet'!L271</f>
        <v>0.013</v>
      </c>
      <c r="H30" s="19" t="s">
        <v>866</v>
      </c>
      <c r="I30" s="19">
        <f t="shared" si="1"/>
        <v>0</v>
      </c>
    </row>
    <row r="31" spans="1:9" ht="12.75">
      <c r="A31" s="150" t="s">
        <v>197</v>
      </c>
      <c r="B31" s="150" t="s">
        <v>322</v>
      </c>
      <c r="C31" s="150" t="s">
        <v>638</v>
      </c>
      <c r="D31" s="151">
        <f>'Stavební rozpočet'!H274</f>
        <v>0</v>
      </c>
      <c r="E31" s="151">
        <f>'Stavební rozpočet'!I274</f>
        <v>0</v>
      </c>
      <c r="F31" s="151">
        <f t="shared" si="0"/>
        <v>0</v>
      </c>
      <c r="G31" s="151">
        <f>'Stavební rozpočet'!L274</f>
        <v>0.01759</v>
      </c>
      <c r="H31" s="19" t="s">
        <v>866</v>
      </c>
      <c r="I31" s="19">
        <f t="shared" si="1"/>
        <v>0</v>
      </c>
    </row>
    <row r="32" spans="1:9" ht="12.75">
      <c r="A32" s="150" t="s">
        <v>197</v>
      </c>
      <c r="B32" s="150" t="s">
        <v>329</v>
      </c>
      <c r="C32" s="150" t="s">
        <v>646</v>
      </c>
      <c r="D32" s="151">
        <f>'Stavební rozpočet'!H283</f>
        <v>0</v>
      </c>
      <c r="E32" s="151">
        <f>'Stavební rozpočet'!I283</f>
        <v>0</v>
      </c>
      <c r="F32" s="151">
        <f t="shared" si="0"/>
        <v>0</v>
      </c>
      <c r="G32" s="151">
        <f>'Stavební rozpočet'!L283</f>
        <v>0.00046</v>
      </c>
      <c r="H32" s="19" t="s">
        <v>866</v>
      </c>
      <c r="I32" s="19">
        <f t="shared" si="1"/>
        <v>0</v>
      </c>
    </row>
    <row r="33" spans="1:9" ht="12.75">
      <c r="A33" s="150" t="s">
        <v>197</v>
      </c>
      <c r="B33" s="150" t="s">
        <v>331</v>
      </c>
      <c r="C33" s="150" t="s">
        <v>648</v>
      </c>
      <c r="D33" s="151">
        <f>'Stavební rozpočet'!H285</f>
        <v>0</v>
      </c>
      <c r="E33" s="151">
        <f>'Stavební rozpočet'!I285</f>
        <v>0</v>
      </c>
      <c r="F33" s="151">
        <f t="shared" si="0"/>
        <v>0</v>
      </c>
      <c r="G33" s="151">
        <f>'Stavební rozpočet'!L285</f>
        <v>2.760086700000001</v>
      </c>
      <c r="H33" s="19" t="s">
        <v>866</v>
      </c>
      <c r="I33" s="19">
        <f t="shared" si="1"/>
        <v>0</v>
      </c>
    </row>
    <row r="34" spans="1:9" ht="12.75">
      <c r="A34" s="150" t="s">
        <v>197</v>
      </c>
      <c r="B34" s="150" t="s">
        <v>341</v>
      </c>
      <c r="C34" s="150" t="s">
        <v>671</v>
      </c>
      <c r="D34" s="151">
        <f>'Stavební rozpočet'!H310</f>
        <v>0</v>
      </c>
      <c r="E34" s="151">
        <f>'Stavební rozpočet'!I310</f>
        <v>0</v>
      </c>
      <c r="F34" s="151">
        <f t="shared" si="0"/>
        <v>0</v>
      </c>
      <c r="G34" s="151">
        <f>'Stavební rozpočet'!L310</f>
        <v>0.254991</v>
      </c>
      <c r="H34" s="19" t="s">
        <v>866</v>
      </c>
      <c r="I34" s="19">
        <f t="shared" si="1"/>
        <v>0</v>
      </c>
    </row>
    <row r="35" spans="1:9" ht="12.75">
      <c r="A35" s="150" t="s">
        <v>197</v>
      </c>
      <c r="B35" s="150" t="s">
        <v>354</v>
      </c>
      <c r="C35" s="150" t="s">
        <v>692</v>
      </c>
      <c r="D35" s="151">
        <f>'Stavební rozpočet'!H333</f>
        <v>0</v>
      </c>
      <c r="E35" s="151">
        <f>'Stavební rozpočet'!I333</f>
        <v>0</v>
      </c>
      <c r="F35" s="151">
        <f t="shared" si="0"/>
        <v>0</v>
      </c>
      <c r="G35" s="151">
        <f>'Stavební rozpočet'!L333</f>
        <v>0.15407</v>
      </c>
      <c r="H35" s="19" t="s">
        <v>866</v>
      </c>
      <c r="I35" s="19">
        <f t="shared" si="1"/>
        <v>0</v>
      </c>
    </row>
    <row r="36" spans="1:9" ht="12.75">
      <c r="A36" s="150" t="s">
        <v>197</v>
      </c>
      <c r="B36" s="150" t="s">
        <v>369</v>
      </c>
      <c r="C36" s="150" t="s">
        <v>707</v>
      </c>
      <c r="D36" s="151">
        <f>'Stavební rozpočet'!H348</f>
        <v>0</v>
      </c>
      <c r="E36" s="151">
        <f>'Stavební rozpočet'!I348</f>
        <v>0</v>
      </c>
      <c r="F36" s="151">
        <f t="shared" si="0"/>
        <v>0</v>
      </c>
      <c r="G36" s="151">
        <f>'Stavební rozpočet'!L348</f>
        <v>0.78836</v>
      </c>
      <c r="H36" s="19" t="s">
        <v>866</v>
      </c>
      <c r="I36" s="19">
        <f t="shared" si="1"/>
        <v>0</v>
      </c>
    </row>
    <row r="37" spans="1:9" ht="12.75">
      <c r="A37" s="150" t="s">
        <v>197</v>
      </c>
      <c r="B37" s="150" t="s">
        <v>378</v>
      </c>
      <c r="C37" s="150" t="s">
        <v>727</v>
      </c>
      <c r="D37" s="151">
        <f>'Stavební rozpočet'!H368</f>
        <v>0</v>
      </c>
      <c r="E37" s="151">
        <f>'Stavební rozpočet'!I368</f>
        <v>0</v>
      </c>
      <c r="F37" s="151">
        <f t="shared" si="0"/>
        <v>0</v>
      </c>
      <c r="G37" s="151">
        <f>'Stavební rozpočet'!L368</f>
        <v>0.6773746</v>
      </c>
      <c r="H37" s="19" t="s">
        <v>866</v>
      </c>
      <c r="I37" s="19">
        <f t="shared" si="1"/>
        <v>0</v>
      </c>
    </row>
    <row r="38" spans="1:9" ht="12.75">
      <c r="A38" s="150" t="s">
        <v>197</v>
      </c>
      <c r="B38" s="150" t="s">
        <v>385</v>
      </c>
      <c r="C38" s="150" t="s">
        <v>740</v>
      </c>
      <c r="D38" s="151">
        <f>'Stavební rozpočet'!H383</f>
        <v>0</v>
      </c>
      <c r="E38" s="151">
        <f>'Stavební rozpočet'!I383</f>
        <v>0</v>
      </c>
      <c r="F38" s="151">
        <f t="shared" si="0"/>
        <v>0</v>
      </c>
      <c r="G38" s="151">
        <f>'Stavební rozpočet'!L383</f>
        <v>0.01953</v>
      </c>
      <c r="H38" s="19" t="s">
        <v>866</v>
      </c>
      <c r="I38" s="19">
        <f t="shared" si="1"/>
        <v>0</v>
      </c>
    </row>
    <row r="39" spans="1:9" ht="12.75">
      <c r="A39" s="150" t="s">
        <v>197</v>
      </c>
      <c r="B39" s="150" t="s">
        <v>388</v>
      </c>
      <c r="C39" s="150" t="s">
        <v>746</v>
      </c>
      <c r="D39" s="151">
        <f>'Stavební rozpočet'!H389</f>
        <v>0</v>
      </c>
      <c r="E39" s="151">
        <f>'Stavební rozpočet'!I389</f>
        <v>0</v>
      </c>
      <c r="F39" s="151">
        <f t="shared" si="0"/>
        <v>0</v>
      </c>
      <c r="G39" s="151">
        <f>'Stavební rozpočet'!L389</f>
        <v>0.0779712</v>
      </c>
      <c r="H39" s="19" t="s">
        <v>866</v>
      </c>
      <c r="I39" s="19">
        <f t="shared" si="1"/>
        <v>0</v>
      </c>
    </row>
    <row r="40" spans="1:9" ht="12.75">
      <c r="A40" s="150" t="s">
        <v>197</v>
      </c>
      <c r="B40" s="150" t="s">
        <v>100</v>
      </c>
      <c r="C40" s="150" t="s">
        <v>754</v>
      </c>
      <c r="D40" s="151">
        <f>'Stavební rozpočet'!H398</f>
        <v>0</v>
      </c>
      <c r="E40" s="151">
        <f>'Stavební rozpočet'!I398</f>
        <v>0</v>
      </c>
      <c r="F40" s="151">
        <f t="shared" si="0"/>
        <v>0</v>
      </c>
      <c r="G40" s="151">
        <f>'Stavební rozpočet'!L398</f>
        <v>0.0484</v>
      </c>
      <c r="H40" s="19" t="s">
        <v>866</v>
      </c>
      <c r="I40" s="19">
        <f t="shared" si="1"/>
        <v>0</v>
      </c>
    </row>
    <row r="41" spans="1:9" ht="12.75">
      <c r="A41" s="150" t="s">
        <v>197</v>
      </c>
      <c r="B41" s="150" t="s">
        <v>101</v>
      </c>
      <c r="C41" s="150" t="s">
        <v>756</v>
      </c>
      <c r="D41" s="151">
        <f>'Stavební rozpočet'!H400</f>
        <v>0</v>
      </c>
      <c r="E41" s="151">
        <f>'Stavební rozpočet'!I400</f>
        <v>0</v>
      </c>
      <c r="F41" s="151">
        <f t="shared" si="0"/>
        <v>0</v>
      </c>
      <c r="G41" s="151">
        <f>'Stavební rozpočet'!L400</f>
        <v>0.007026</v>
      </c>
      <c r="H41" s="19" t="s">
        <v>866</v>
      </c>
      <c r="I41" s="19">
        <f t="shared" si="1"/>
        <v>0</v>
      </c>
    </row>
    <row r="42" spans="1:9" ht="12.75">
      <c r="A42" s="150" t="s">
        <v>197</v>
      </c>
      <c r="B42" s="150" t="s">
        <v>395</v>
      </c>
      <c r="C42" s="150" t="s">
        <v>760</v>
      </c>
      <c r="D42" s="151">
        <f>'Stavební rozpočet'!H405</f>
        <v>0</v>
      </c>
      <c r="E42" s="151">
        <f>'Stavební rozpočet'!I405</f>
        <v>0</v>
      </c>
      <c r="F42" s="151">
        <f t="shared" si="0"/>
        <v>0</v>
      </c>
      <c r="G42" s="151">
        <f>'Stavební rozpočet'!L405</f>
        <v>0</v>
      </c>
      <c r="H42" s="19" t="s">
        <v>866</v>
      </c>
      <c r="I42" s="19">
        <f t="shared" si="1"/>
        <v>0</v>
      </c>
    </row>
    <row r="43" spans="1:9" ht="12.75">
      <c r="A43" s="150" t="s">
        <v>197</v>
      </c>
      <c r="B43" s="150" t="s">
        <v>397</v>
      </c>
      <c r="C43" s="150" t="s">
        <v>762</v>
      </c>
      <c r="D43" s="151">
        <f>'Stavební rozpočet'!H407</f>
        <v>0</v>
      </c>
      <c r="E43" s="151">
        <f>'Stavební rozpočet'!I407</f>
        <v>0</v>
      </c>
      <c r="F43" s="151">
        <f t="shared" si="0"/>
        <v>0</v>
      </c>
      <c r="G43" s="151">
        <f>'Stavební rozpočet'!L407</f>
        <v>0.03852849999999999</v>
      </c>
      <c r="H43" s="19" t="s">
        <v>866</v>
      </c>
      <c r="I43" s="19">
        <f t="shared" si="1"/>
        <v>0</v>
      </c>
    </row>
    <row r="44" spans="1:7" ht="12.75">
      <c r="A44" s="132"/>
      <c r="B44" s="132"/>
      <c r="C44" s="132"/>
      <c r="D44" s="132"/>
      <c r="E44" s="132"/>
      <c r="F44" s="132"/>
      <c r="G44" s="132"/>
    </row>
    <row r="45" spans="1:7" ht="12.75">
      <c r="A45" s="132"/>
      <c r="B45" s="132"/>
      <c r="C45" s="132"/>
      <c r="D45" s="132"/>
      <c r="E45" s="152" t="s">
        <v>791</v>
      </c>
      <c r="F45" s="141">
        <f>ROUND(SUM(I11:I43),0)</f>
        <v>0</v>
      </c>
      <c r="G45" s="132"/>
    </row>
    <row r="46" spans="1:7" ht="12.75">
      <c r="A46" s="132"/>
      <c r="B46" s="132"/>
      <c r="C46" s="132"/>
      <c r="D46" s="132"/>
      <c r="E46" s="132"/>
      <c r="F46" s="132"/>
      <c r="G46" s="132"/>
    </row>
  </sheetData>
  <sheetProtection/>
  <mergeCells count="17">
    <mergeCell ref="A6:A7"/>
    <mergeCell ref="B6:C7"/>
    <mergeCell ref="D6:D7"/>
    <mergeCell ref="E6:G7"/>
    <mergeCell ref="A8:A9"/>
    <mergeCell ref="B8:C9"/>
    <mergeCell ref="D8:D9"/>
    <mergeCell ref="E8:G9"/>
    <mergeCell ref="A1:G1"/>
    <mergeCell ref="A2:A3"/>
    <mergeCell ref="B2:C3"/>
    <mergeCell ref="D2:D3"/>
    <mergeCell ref="E2:G3"/>
    <mergeCell ref="A4:A5"/>
    <mergeCell ref="B4:C5"/>
    <mergeCell ref="D4:D5"/>
    <mergeCell ref="E4:G5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" sqref="A1:H1"/>
    </sheetView>
  </sheetViews>
  <sheetFormatPr defaultColWidth="11.57421875" defaultRowHeight="12.75"/>
  <cols>
    <col min="1" max="2" width="9.140625" style="0" customWidth="1"/>
    <col min="3" max="3" width="13.28125" style="0" customWidth="1"/>
    <col min="4" max="4" width="44.00390625" style="0" customWidth="1"/>
    <col min="5" max="5" width="14.57421875" style="0" customWidth="1"/>
    <col min="6" max="6" width="24.140625" style="0" customWidth="1"/>
    <col min="7" max="7" width="20.421875" style="0" customWidth="1"/>
    <col min="8" max="8" width="16.421875" style="0" customWidth="1"/>
  </cols>
  <sheetData>
    <row r="1" spans="1:8" ht="72.75" customHeight="1">
      <c r="A1" s="56" t="s">
        <v>867</v>
      </c>
      <c r="B1" s="57"/>
      <c r="C1" s="57"/>
      <c r="D1" s="57"/>
      <c r="E1" s="57"/>
      <c r="F1" s="57"/>
      <c r="G1" s="57"/>
      <c r="H1" s="57"/>
    </row>
    <row r="2" spans="1:9" ht="12.75">
      <c r="A2" s="58" t="s">
        <v>1</v>
      </c>
      <c r="B2" s="59"/>
      <c r="C2" s="62" t="str">
        <f>'Stavební rozpočet'!D2</f>
        <v>Objekt zázemí,pergoly a přemíst. podia v areálu HZ Michálkovice</v>
      </c>
      <c r="D2" s="77"/>
      <c r="E2" s="65" t="s">
        <v>792</v>
      </c>
      <c r="F2" s="65" t="str">
        <f>'Stavební rozpočet'!J2</f>
        <v>MO Michálkovice, ČA 325/106, Ostrava</v>
      </c>
      <c r="G2" s="59"/>
      <c r="H2" s="66"/>
      <c r="I2" s="17"/>
    </row>
    <row r="3" spans="1:9" ht="12.75">
      <c r="A3" s="60"/>
      <c r="B3" s="61"/>
      <c r="C3" s="63"/>
      <c r="D3" s="63"/>
      <c r="E3" s="61"/>
      <c r="F3" s="61"/>
      <c r="G3" s="61"/>
      <c r="H3" s="67"/>
      <c r="I3" s="17"/>
    </row>
    <row r="4" spans="1:9" ht="12.75">
      <c r="A4" s="68" t="s">
        <v>2</v>
      </c>
      <c r="B4" s="61"/>
      <c r="C4" s="69" t="str">
        <f>'Stavební rozpočet'!D4</f>
        <v>Novostavba -SO 01 Zázemí, bufet</v>
      </c>
      <c r="D4" s="61"/>
      <c r="E4" s="69" t="s">
        <v>793</v>
      </c>
      <c r="F4" s="69" t="str">
        <f>'Stavební rozpočet'!J4</f>
        <v> </v>
      </c>
      <c r="G4" s="61"/>
      <c r="H4" s="67"/>
      <c r="I4" s="17"/>
    </row>
    <row r="5" spans="1:9" ht="12.75">
      <c r="A5" s="60"/>
      <c r="B5" s="61"/>
      <c r="C5" s="61"/>
      <c r="D5" s="61"/>
      <c r="E5" s="61"/>
      <c r="F5" s="61"/>
      <c r="G5" s="61"/>
      <c r="H5" s="67"/>
      <c r="I5" s="17"/>
    </row>
    <row r="6" spans="1:9" ht="12.75">
      <c r="A6" s="68" t="s">
        <v>3</v>
      </c>
      <c r="B6" s="61"/>
      <c r="C6" s="69" t="str">
        <f>'Stavební rozpočet'!D6</f>
        <v>Ostrava-Michálkovice</v>
      </c>
      <c r="D6" s="61"/>
      <c r="E6" s="69" t="s">
        <v>794</v>
      </c>
      <c r="F6" s="69" t="str">
        <f>'Stavební rozpočet'!J6</f>
        <v> </v>
      </c>
      <c r="G6" s="61"/>
      <c r="H6" s="67"/>
      <c r="I6" s="17"/>
    </row>
    <row r="7" spans="1:9" ht="12.75">
      <c r="A7" s="60"/>
      <c r="B7" s="61"/>
      <c r="C7" s="61"/>
      <c r="D7" s="61"/>
      <c r="E7" s="61"/>
      <c r="F7" s="61"/>
      <c r="G7" s="61"/>
      <c r="H7" s="67"/>
      <c r="I7" s="17"/>
    </row>
    <row r="8" spans="1:9" ht="12.75">
      <c r="A8" s="68" t="s">
        <v>795</v>
      </c>
      <c r="B8" s="61"/>
      <c r="C8" s="69" t="str">
        <f>'Stavební rozpočet'!J8</f>
        <v>R.Šípek</v>
      </c>
      <c r="D8" s="61"/>
      <c r="E8" s="69" t="s">
        <v>773</v>
      </c>
      <c r="F8" s="69" t="str">
        <f>'Stavební rozpočet'!G8</f>
        <v>01.06.2018</v>
      </c>
      <c r="G8" s="61"/>
      <c r="H8" s="67"/>
      <c r="I8" s="17"/>
    </row>
    <row r="9" spans="1:9" ht="12.75">
      <c r="A9" s="71"/>
      <c r="B9" s="72"/>
      <c r="C9" s="72"/>
      <c r="D9" s="72"/>
      <c r="E9" s="72"/>
      <c r="F9" s="72"/>
      <c r="G9" s="72"/>
      <c r="H9" s="73"/>
      <c r="I9" s="17"/>
    </row>
    <row r="10" spans="1:9" ht="12.75">
      <c r="A10" s="24" t="s">
        <v>5</v>
      </c>
      <c r="B10" s="25" t="s">
        <v>196</v>
      </c>
      <c r="C10" s="25" t="s">
        <v>198</v>
      </c>
      <c r="D10" s="25" t="s">
        <v>406</v>
      </c>
      <c r="E10" s="25" t="s">
        <v>774</v>
      </c>
      <c r="F10" s="25" t="s">
        <v>407</v>
      </c>
      <c r="G10" s="27" t="s">
        <v>785</v>
      </c>
      <c r="H10" s="23" t="s">
        <v>868</v>
      </c>
      <c r="I10" s="18"/>
    </row>
    <row r="11" spans="1:8" ht="12.75">
      <c r="A11" s="26"/>
      <c r="B11" s="26"/>
      <c r="C11" s="26"/>
      <c r="D11" s="26"/>
      <c r="E11" s="26"/>
      <c r="F11" s="26"/>
      <c r="G11" s="26"/>
      <c r="H11" s="26"/>
    </row>
    <row r="12" ht="11.25" customHeight="1">
      <c r="A12" s="5" t="s">
        <v>195</v>
      </c>
    </row>
    <row r="13" spans="1:7" ht="12.75">
      <c r="A13" s="69"/>
      <c r="B13" s="61"/>
      <c r="C13" s="61"/>
      <c r="D13" s="61"/>
      <c r="E13" s="61"/>
      <c r="F13" s="61"/>
      <c r="G13" s="61"/>
    </row>
  </sheetData>
  <sheetProtection/>
  <mergeCells count="18">
    <mergeCell ref="A13:G13"/>
    <mergeCell ref="A6:B7"/>
    <mergeCell ref="C6:D7"/>
    <mergeCell ref="E6:E7"/>
    <mergeCell ref="F6:H7"/>
    <mergeCell ref="A8:B9"/>
    <mergeCell ref="C8:D9"/>
    <mergeCell ref="E8:E9"/>
    <mergeCell ref="F8:H9"/>
    <mergeCell ref="A1:H1"/>
    <mergeCell ref="A2:B3"/>
    <mergeCell ref="C2:D3"/>
    <mergeCell ref="E2:E3"/>
    <mergeCell ref="F2:H3"/>
    <mergeCell ref="A4:B5"/>
    <mergeCell ref="C4:D5"/>
    <mergeCell ref="E4:E5"/>
    <mergeCell ref="F4:H5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" sqref="A1:H1"/>
    </sheetView>
  </sheetViews>
  <sheetFormatPr defaultColWidth="11.57421875" defaultRowHeight="12.75"/>
  <cols>
    <col min="1" max="1" width="16.421875" style="0" customWidth="1"/>
    <col min="2" max="2" width="48.7109375" style="0" customWidth="1"/>
    <col min="3" max="3" width="15.28125" style="0" customWidth="1"/>
    <col min="4" max="4" width="10.28125" style="0" customWidth="1"/>
    <col min="5" max="5" width="8.421875" style="0" customWidth="1"/>
    <col min="6" max="7" width="11.8515625" style="0" customWidth="1"/>
    <col min="8" max="8" width="19.8515625" style="0" customWidth="1"/>
  </cols>
  <sheetData>
    <row r="1" spans="1:8" ht="72.75" customHeight="1">
      <c r="A1" s="56" t="s">
        <v>869</v>
      </c>
      <c r="B1" s="57"/>
      <c r="C1" s="57"/>
      <c r="D1" s="57"/>
      <c r="E1" s="57"/>
      <c r="F1" s="57"/>
      <c r="G1" s="57"/>
      <c r="H1" s="57"/>
    </row>
    <row r="2" spans="1:9" ht="12.75">
      <c r="A2" s="58" t="s">
        <v>1</v>
      </c>
      <c r="B2" s="62" t="str">
        <f>'Stavební rozpočet'!D2</f>
        <v>Objekt zázemí,pergoly a přemíst. podia v areálu HZ Michálkovice</v>
      </c>
      <c r="C2" s="64" t="s">
        <v>770</v>
      </c>
      <c r="D2" s="65" t="str">
        <f>'Stavební rozpočet'!G2</f>
        <v> </v>
      </c>
      <c r="E2" s="59"/>
      <c r="F2" s="65" t="s">
        <v>792</v>
      </c>
      <c r="G2" s="65" t="str">
        <f>'Stavební rozpočet'!J2</f>
        <v>MO Michálkovice, ČA 325/106, Ostrava</v>
      </c>
      <c r="H2" s="66"/>
      <c r="I2" s="17"/>
    </row>
    <row r="3" spans="1:9" ht="12.75">
      <c r="A3" s="60"/>
      <c r="B3" s="63"/>
      <c r="C3" s="61"/>
      <c r="D3" s="61"/>
      <c r="E3" s="61"/>
      <c r="F3" s="61"/>
      <c r="G3" s="61"/>
      <c r="H3" s="67"/>
      <c r="I3" s="17"/>
    </row>
    <row r="4" spans="1:9" ht="12.75">
      <c r="A4" s="68" t="s">
        <v>2</v>
      </c>
      <c r="B4" s="69" t="str">
        <f>'Stavební rozpočet'!D4</f>
        <v>Novostavba -SO 01 Zázemí, bufet</v>
      </c>
      <c r="C4" s="70" t="s">
        <v>771</v>
      </c>
      <c r="D4" s="69" t="str">
        <f>'Stavební rozpočet'!G4</f>
        <v> </v>
      </c>
      <c r="E4" s="61"/>
      <c r="F4" s="69" t="s">
        <v>793</v>
      </c>
      <c r="G4" s="69" t="str">
        <f>'Stavební rozpočet'!J4</f>
        <v> </v>
      </c>
      <c r="H4" s="67"/>
      <c r="I4" s="17"/>
    </row>
    <row r="5" spans="1:9" ht="12.75">
      <c r="A5" s="60"/>
      <c r="B5" s="61"/>
      <c r="C5" s="61"/>
      <c r="D5" s="61"/>
      <c r="E5" s="61"/>
      <c r="F5" s="61"/>
      <c r="G5" s="61"/>
      <c r="H5" s="67"/>
      <c r="I5" s="17"/>
    </row>
    <row r="6" spans="1:9" ht="12.75">
      <c r="A6" s="68" t="s">
        <v>3</v>
      </c>
      <c r="B6" s="69" t="str">
        <f>'Stavební rozpočet'!D6</f>
        <v>Ostrava-Michálkovice</v>
      </c>
      <c r="C6" s="70" t="s">
        <v>772</v>
      </c>
      <c r="D6" s="69" t="str">
        <f>'Stavební rozpočet'!G6</f>
        <v> </v>
      </c>
      <c r="E6" s="61"/>
      <c r="F6" s="69" t="s">
        <v>794</v>
      </c>
      <c r="G6" s="69" t="str">
        <f>'Stavební rozpočet'!J6</f>
        <v> </v>
      </c>
      <c r="H6" s="67"/>
      <c r="I6" s="17"/>
    </row>
    <row r="7" spans="1:9" ht="12.75">
      <c r="A7" s="60"/>
      <c r="B7" s="61"/>
      <c r="C7" s="61"/>
      <c r="D7" s="61"/>
      <c r="E7" s="61"/>
      <c r="F7" s="61"/>
      <c r="G7" s="61"/>
      <c r="H7" s="67"/>
      <c r="I7" s="17"/>
    </row>
    <row r="8" spans="1:9" ht="12.75">
      <c r="A8" s="68" t="s">
        <v>4</v>
      </c>
      <c r="B8" s="69" t="str">
        <f>'Stavební rozpočet'!D8</f>
        <v> </v>
      </c>
      <c r="C8" s="70" t="s">
        <v>773</v>
      </c>
      <c r="D8" s="69" t="str">
        <f>'Stavební rozpočet'!G8</f>
        <v>01.06.2018</v>
      </c>
      <c r="E8" s="61"/>
      <c r="F8" s="69" t="s">
        <v>795</v>
      </c>
      <c r="G8" s="69" t="str">
        <f>'Stavební rozpočet'!J8</f>
        <v>R.Šípek</v>
      </c>
      <c r="H8" s="67"/>
      <c r="I8" s="17"/>
    </row>
    <row r="9" spans="1:9" ht="12.75">
      <c r="A9" s="71"/>
      <c r="B9" s="72"/>
      <c r="C9" s="72"/>
      <c r="D9" s="72"/>
      <c r="E9" s="72"/>
      <c r="F9" s="72"/>
      <c r="G9" s="72"/>
      <c r="H9" s="73"/>
      <c r="I9" s="17"/>
    </row>
    <row r="10" spans="1:9" ht="12.75">
      <c r="A10" s="24" t="s">
        <v>198</v>
      </c>
      <c r="B10" s="25" t="s">
        <v>406</v>
      </c>
      <c r="C10" s="27" t="s">
        <v>870</v>
      </c>
      <c r="D10" s="27" t="s">
        <v>871</v>
      </c>
      <c r="E10" s="27" t="s">
        <v>872</v>
      </c>
      <c r="F10" s="78" t="s">
        <v>873</v>
      </c>
      <c r="G10" s="79"/>
      <c r="H10" s="80"/>
      <c r="I10" s="18"/>
    </row>
    <row r="11" spans="1:8" ht="11.25" customHeight="1">
      <c r="A11" s="28" t="s">
        <v>195</v>
      </c>
      <c r="B11" s="26"/>
      <c r="C11" s="26"/>
      <c r="D11" s="26"/>
      <c r="E11" s="26"/>
      <c r="F11" s="26"/>
      <c r="G11" s="26"/>
      <c r="H11" s="26"/>
    </row>
    <row r="12" spans="1:8" ht="12.75">
      <c r="A12" s="69"/>
      <c r="B12" s="61"/>
      <c r="C12" s="61"/>
      <c r="D12" s="61"/>
      <c r="E12" s="61"/>
      <c r="F12" s="61"/>
      <c r="G12" s="61"/>
      <c r="H12" s="61"/>
    </row>
  </sheetData>
  <sheetProtection/>
  <mergeCells count="27">
    <mergeCell ref="F10:H10"/>
    <mergeCell ref="A12:H12"/>
    <mergeCell ref="A8:A9"/>
    <mergeCell ref="B8:B9"/>
    <mergeCell ref="C8:C9"/>
    <mergeCell ref="D8:E9"/>
    <mergeCell ref="F8:F9"/>
    <mergeCell ref="G8:H9"/>
    <mergeCell ref="A6:A7"/>
    <mergeCell ref="B6:B7"/>
    <mergeCell ref="C6:C7"/>
    <mergeCell ref="D6:E7"/>
    <mergeCell ref="F6:F7"/>
    <mergeCell ref="G6:H7"/>
    <mergeCell ref="A4:A5"/>
    <mergeCell ref="B4:B5"/>
    <mergeCell ref="C4:C5"/>
    <mergeCell ref="D4:E5"/>
    <mergeCell ref="F4:F5"/>
    <mergeCell ref="G4:H5"/>
    <mergeCell ref="A1:H1"/>
    <mergeCell ref="A2:A3"/>
    <mergeCell ref="B2:B3"/>
    <mergeCell ref="C2:C3"/>
    <mergeCell ref="D2:E3"/>
    <mergeCell ref="F2:F3"/>
    <mergeCell ref="G2:H3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34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" sqref="A1:O1"/>
    </sheetView>
  </sheetViews>
  <sheetFormatPr defaultColWidth="11.57421875" defaultRowHeight="12.75"/>
  <cols>
    <col min="1" max="1" width="14.57421875" style="0" customWidth="1"/>
    <col min="2" max="2" width="10.421875" style="0" customWidth="1"/>
    <col min="3" max="3" width="14.57421875" style="0" customWidth="1"/>
    <col min="4" max="4" width="39.7109375" style="0" customWidth="1"/>
    <col min="5" max="5" width="16.140625" style="0" customWidth="1"/>
    <col min="6" max="6" width="23.28125" style="0" customWidth="1"/>
    <col min="7" max="7" width="21.28125" style="0" customWidth="1"/>
    <col min="8" max="8" width="19.57421875" style="0" customWidth="1"/>
    <col min="9" max="10" width="11.421875" style="0" customWidth="1"/>
    <col min="11" max="11" width="21.140625" style="0" customWidth="1"/>
    <col min="12" max="12" width="11.421875" style="0" customWidth="1"/>
    <col min="13" max="15" width="20.00390625" style="0" customWidth="1"/>
    <col min="16" max="30" width="11.57421875" style="0" customWidth="1"/>
    <col min="31" max="31" width="12.140625" style="0" hidden="1" customWidth="1"/>
  </cols>
  <sheetData>
    <row r="1" spans="1:15" ht="72.75" customHeight="1">
      <c r="A1" s="56" t="s">
        <v>874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6" ht="12.75">
      <c r="A2" s="58" t="s">
        <v>1</v>
      </c>
      <c r="B2" s="62" t="str">
        <f>'Stavební rozpočet'!D2</f>
        <v>Objekt zázemí,pergoly a přemíst. podia v areálu HZ Michálkovice</v>
      </c>
      <c r="C2" s="77"/>
      <c r="D2" s="77"/>
      <c r="E2" s="64" t="s">
        <v>770</v>
      </c>
      <c r="F2" s="65" t="str">
        <f>'Stavební rozpočet'!G2</f>
        <v> </v>
      </c>
      <c r="G2" s="65" t="s">
        <v>792</v>
      </c>
      <c r="H2" s="65" t="str">
        <f>'Stavební rozpočet'!J2</f>
        <v>MO Michálkovice, ČA 325/106, Ostrava</v>
      </c>
      <c r="I2" s="59"/>
      <c r="J2" s="59"/>
      <c r="K2" s="59"/>
      <c r="L2" s="59"/>
      <c r="M2" s="59"/>
      <c r="N2" s="59"/>
      <c r="O2" s="66"/>
      <c r="P2" s="17"/>
    </row>
    <row r="3" spans="1:16" ht="12.75">
      <c r="A3" s="60"/>
      <c r="B3" s="63"/>
      <c r="C3" s="63"/>
      <c r="D3" s="63"/>
      <c r="E3" s="61"/>
      <c r="F3" s="61"/>
      <c r="G3" s="61"/>
      <c r="H3" s="61"/>
      <c r="I3" s="61"/>
      <c r="J3" s="61"/>
      <c r="K3" s="61"/>
      <c r="L3" s="61"/>
      <c r="M3" s="61"/>
      <c r="N3" s="61"/>
      <c r="O3" s="67"/>
      <c r="P3" s="17"/>
    </row>
    <row r="4" spans="1:16" ht="12.75">
      <c r="A4" s="68" t="s">
        <v>2</v>
      </c>
      <c r="B4" s="69" t="str">
        <f>'Stavební rozpočet'!D4</f>
        <v>Novostavba -SO 01 Zázemí, bufet</v>
      </c>
      <c r="C4" s="61"/>
      <c r="D4" s="61"/>
      <c r="E4" s="70" t="s">
        <v>771</v>
      </c>
      <c r="F4" s="69" t="str">
        <f>'Stavební rozpočet'!G4</f>
        <v> </v>
      </c>
      <c r="G4" s="69" t="s">
        <v>793</v>
      </c>
      <c r="H4" s="69" t="str">
        <f>'Stavební rozpočet'!J4</f>
        <v> </v>
      </c>
      <c r="I4" s="61"/>
      <c r="J4" s="61"/>
      <c r="K4" s="61"/>
      <c r="L4" s="61"/>
      <c r="M4" s="61"/>
      <c r="N4" s="61"/>
      <c r="O4" s="67"/>
      <c r="P4" s="17"/>
    </row>
    <row r="5" spans="1:16" ht="12.75">
      <c r="A5" s="60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7"/>
      <c r="P5" s="17"/>
    </row>
    <row r="6" spans="1:16" ht="12.75">
      <c r="A6" s="68" t="s">
        <v>3</v>
      </c>
      <c r="B6" s="69" t="str">
        <f>'Stavební rozpočet'!D6</f>
        <v>Ostrava-Michálkovice</v>
      </c>
      <c r="C6" s="61"/>
      <c r="D6" s="61"/>
      <c r="E6" s="70" t="s">
        <v>772</v>
      </c>
      <c r="F6" s="69" t="str">
        <f>'Stavební rozpočet'!G6</f>
        <v> </v>
      </c>
      <c r="G6" s="69" t="s">
        <v>794</v>
      </c>
      <c r="H6" s="69" t="str">
        <f>'Stavební rozpočet'!J6</f>
        <v> </v>
      </c>
      <c r="I6" s="61"/>
      <c r="J6" s="61"/>
      <c r="K6" s="61"/>
      <c r="L6" s="61"/>
      <c r="M6" s="61"/>
      <c r="N6" s="61"/>
      <c r="O6" s="67"/>
      <c r="P6" s="17"/>
    </row>
    <row r="7" spans="1:16" ht="12.75">
      <c r="A7" s="60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7"/>
      <c r="P7" s="17"/>
    </row>
    <row r="8" spans="1:16" ht="12.75">
      <c r="A8" s="68" t="s">
        <v>4</v>
      </c>
      <c r="B8" s="69" t="str">
        <f>'Stavební rozpočet'!D8</f>
        <v> </v>
      </c>
      <c r="C8" s="61"/>
      <c r="D8" s="61"/>
      <c r="E8" s="70" t="s">
        <v>773</v>
      </c>
      <c r="F8" s="69" t="str">
        <f>'Stavební rozpočet'!G8</f>
        <v>01.06.2018</v>
      </c>
      <c r="G8" s="69" t="s">
        <v>795</v>
      </c>
      <c r="H8" s="69" t="str">
        <f>'Stavební rozpočet'!J8</f>
        <v>R.Šípek</v>
      </c>
      <c r="I8" s="61"/>
      <c r="J8" s="61"/>
      <c r="K8" s="61"/>
      <c r="L8" s="61"/>
      <c r="M8" s="61"/>
      <c r="N8" s="61"/>
      <c r="O8" s="67"/>
      <c r="P8" s="17"/>
    </row>
    <row r="9" spans="1:16" ht="12.75">
      <c r="A9" s="71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3"/>
      <c r="P9" s="17"/>
    </row>
    <row r="10" spans="1:16" ht="12.75">
      <c r="A10" s="29" t="s">
        <v>5</v>
      </c>
      <c r="B10" s="29" t="s">
        <v>196</v>
      </c>
      <c r="C10" s="24" t="s">
        <v>198</v>
      </c>
      <c r="D10" s="81" t="s">
        <v>406</v>
      </c>
      <c r="E10" s="82"/>
      <c r="F10" s="27" t="s">
        <v>875</v>
      </c>
      <c r="G10" s="27" t="s">
        <v>876</v>
      </c>
      <c r="H10" s="27" t="s">
        <v>877</v>
      </c>
      <c r="I10" s="27" t="s">
        <v>878</v>
      </c>
      <c r="J10" s="27" t="s">
        <v>785</v>
      </c>
      <c r="K10" s="27" t="s">
        <v>879</v>
      </c>
      <c r="L10" s="30" t="s">
        <v>880</v>
      </c>
      <c r="M10" s="33" t="s">
        <v>881</v>
      </c>
      <c r="N10" s="27" t="s">
        <v>882</v>
      </c>
      <c r="O10" s="30" t="s">
        <v>883</v>
      </c>
      <c r="P10" s="18"/>
    </row>
    <row r="11" spans="1:31" ht="12.75">
      <c r="A11" s="7"/>
      <c r="B11" s="7" t="s">
        <v>197</v>
      </c>
      <c r="C11" s="7"/>
      <c r="D11" s="83" t="s">
        <v>408</v>
      </c>
      <c r="E11" s="84"/>
      <c r="F11" s="21">
        <f>F12+F15+F18+F23+F27+F41+F49+F52+F56+F62+F65+F70+F73+F84+F87+F92+F106+F123+F145+F148+F155+F157+F168+F181+F196+F205+F212+F215+F218+F220+F224+F226</f>
        <v>0</v>
      </c>
      <c r="G11" s="21">
        <f>G12+G15+G18+G23+G27+G41+G49+G52+G56+G62+G65+G70+G73+G84+G87+G92+G106+G123+G145+G148+G155+G157+G168+G181+G196+G205+G212+G215+G218+G220+G224+G226</f>
        <v>0</v>
      </c>
      <c r="H11" s="21">
        <f aca="true" t="shared" si="0" ref="H11:H74">G11-F11</f>
        <v>0</v>
      </c>
      <c r="I11" s="21">
        <f aca="true" t="shared" si="1" ref="I11:I74">IF(F11=0,0,H11/F11*100)</f>
        <v>0</v>
      </c>
      <c r="J11" s="21">
        <f>J12+J15+J18+J23+J27+J41+J49+J52+J56+J62+J65+J70+J73+J84+J87+J92+J106+J123+J145+J148+J155+J157+J168+J181+J196+J205+J212+J215+J218+J220+J224+J226</f>
        <v>3895.3499999999995</v>
      </c>
      <c r="K11" s="21">
        <f>K12+K15+K18+K23+K27+K41+K49+K52+K56+K62+K65+K70+K73+K84+K87+K92+K106+K123+K145+K148+K155+K157+K168+K181+K196+K205+K212+K215+K218+K220+K224+K226</f>
        <v>0</v>
      </c>
      <c r="L11" s="34">
        <f>J11-K11</f>
        <v>3895.3499999999995</v>
      </c>
      <c r="M11" s="36" t="str">
        <f aca="true" t="shared" si="2" ref="M11:M74">IF(G11=0,"Nefakturováno",AE11)</f>
        <v>Nefakturováno</v>
      </c>
      <c r="N11" s="21">
        <f aca="true" t="shared" si="3" ref="N11:N74">AE11-G11</f>
        <v>0</v>
      </c>
      <c r="O11" s="21">
        <f aca="true" t="shared" si="4" ref="O11:O74">IF(G11&lt;&gt;0,N11/G11*100,-100)</f>
        <v>-100</v>
      </c>
      <c r="AE11" s="19">
        <v>0</v>
      </c>
    </row>
    <row r="12" spans="1:31" ht="12.75">
      <c r="A12" s="8"/>
      <c r="B12" s="8" t="s">
        <v>197</v>
      </c>
      <c r="C12" s="8" t="s">
        <v>18</v>
      </c>
      <c r="D12" s="85" t="s">
        <v>409</v>
      </c>
      <c r="E12" s="86"/>
      <c r="F12" s="22">
        <f>SUM(F13:F14)</f>
        <v>0</v>
      </c>
      <c r="G12" s="22">
        <f>SUM(G13:G14)</f>
        <v>0</v>
      </c>
      <c r="H12" s="22">
        <f t="shared" si="0"/>
        <v>0</v>
      </c>
      <c r="I12" s="22">
        <f t="shared" si="1"/>
        <v>0</v>
      </c>
      <c r="J12" s="22">
        <f>SUM(J13:J14)</f>
        <v>12.9</v>
      </c>
      <c r="K12" s="22">
        <f>SUM(K13:K14)</f>
        <v>0</v>
      </c>
      <c r="L12" s="35">
        <f>J12-K12</f>
        <v>12.9</v>
      </c>
      <c r="M12" s="37" t="str">
        <f t="shared" si="2"/>
        <v>Nefakturováno</v>
      </c>
      <c r="N12" s="22">
        <f t="shared" si="3"/>
        <v>0</v>
      </c>
      <c r="O12" s="22">
        <f t="shared" si="4"/>
        <v>-100</v>
      </c>
      <c r="AE12" s="19">
        <v>0</v>
      </c>
    </row>
    <row r="13" spans="1:31" ht="12.75">
      <c r="A13" s="2" t="s">
        <v>7</v>
      </c>
      <c r="B13" s="2" t="s">
        <v>197</v>
      </c>
      <c r="C13" s="2" t="s">
        <v>199</v>
      </c>
      <c r="D13" s="87" t="s">
        <v>410</v>
      </c>
      <c r="E13" s="88"/>
      <c r="F13" s="10">
        <f>'Stavební rozpočet'!J14</f>
        <v>0</v>
      </c>
      <c r="G13" s="10">
        <v>0</v>
      </c>
      <c r="H13" s="10">
        <f t="shared" si="0"/>
        <v>0</v>
      </c>
      <c r="I13" s="10">
        <f t="shared" si="1"/>
        <v>0</v>
      </c>
      <c r="J13" s="10">
        <f>'Stavební rozpočet'!F14</f>
        <v>10.66</v>
      </c>
      <c r="K13" s="10">
        <v>0</v>
      </c>
      <c r="L13" s="31">
        <v>10.66</v>
      </c>
      <c r="M13" s="38" t="str">
        <f t="shared" si="2"/>
        <v>Nefakturováno</v>
      </c>
      <c r="N13" s="10">
        <f t="shared" si="3"/>
        <v>0</v>
      </c>
      <c r="O13" s="10">
        <f t="shared" si="4"/>
        <v>-100</v>
      </c>
      <c r="AE13" s="10">
        <v>0</v>
      </c>
    </row>
    <row r="14" spans="1:31" ht="12.75">
      <c r="A14" s="2" t="s">
        <v>8</v>
      </c>
      <c r="B14" s="2" t="s">
        <v>197</v>
      </c>
      <c r="C14" s="2" t="s">
        <v>200</v>
      </c>
      <c r="D14" s="87" t="s">
        <v>412</v>
      </c>
      <c r="E14" s="88"/>
      <c r="F14" s="10">
        <f>'Stavební rozpočet'!J16</f>
        <v>0</v>
      </c>
      <c r="G14" s="10">
        <v>0</v>
      </c>
      <c r="H14" s="10">
        <f t="shared" si="0"/>
        <v>0</v>
      </c>
      <c r="I14" s="10">
        <f t="shared" si="1"/>
        <v>0</v>
      </c>
      <c r="J14" s="10">
        <f>'Stavební rozpočet'!F16</f>
        <v>2.24</v>
      </c>
      <c r="K14" s="10">
        <v>0</v>
      </c>
      <c r="L14" s="31">
        <v>2.24</v>
      </c>
      <c r="M14" s="38" t="str">
        <f t="shared" si="2"/>
        <v>Nefakturováno</v>
      </c>
      <c r="N14" s="10">
        <f t="shared" si="3"/>
        <v>0</v>
      </c>
      <c r="O14" s="10">
        <f t="shared" si="4"/>
        <v>-100</v>
      </c>
      <c r="AE14" s="10">
        <v>0</v>
      </c>
    </row>
    <row r="15" spans="1:31" ht="12.75">
      <c r="A15" s="8"/>
      <c r="B15" s="8" t="s">
        <v>197</v>
      </c>
      <c r="C15" s="8" t="s">
        <v>19</v>
      </c>
      <c r="D15" s="85" t="s">
        <v>414</v>
      </c>
      <c r="E15" s="86"/>
      <c r="F15" s="22">
        <f>SUM(F16:F17)</f>
        <v>0</v>
      </c>
      <c r="G15" s="22">
        <f>SUM(G16:G17)</f>
        <v>0</v>
      </c>
      <c r="H15" s="22">
        <f t="shared" si="0"/>
        <v>0</v>
      </c>
      <c r="I15" s="22">
        <f t="shared" si="1"/>
        <v>0</v>
      </c>
      <c r="J15" s="22">
        <f>SUM(J16:J17)</f>
        <v>17.9</v>
      </c>
      <c r="K15" s="22">
        <f>SUM(K16:K17)</f>
        <v>0</v>
      </c>
      <c r="L15" s="35">
        <f>J15-K15</f>
        <v>17.9</v>
      </c>
      <c r="M15" s="37" t="str">
        <f t="shared" si="2"/>
        <v>Nefakturováno</v>
      </c>
      <c r="N15" s="22">
        <f t="shared" si="3"/>
        <v>0</v>
      </c>
      <c r="O15" s="22">
        <f t="shared" si="4"/>
        <v>-100</v>
      </c>
      <c r="AE15" s="10">
        <v>0</v>
      </c>
    </row>
    <row r="16" spans="1:31" ht="12.75">
      <c r="A16" s="2" t="s">
        <v>9</v>
      </c>
      <c r="B16" s="2" t="s">
        <v>197</v>
      </c>
      <c r="C16" s="2" t="s">
        <v>201</v>
      </c>
      <c r="D16" s="87" t="s">
        <v>415</v>
      </c>
      <c r="E16" s="88"/>
      <c r="F16" s="10">
        <f>'Stavební rozpočet'!J19</f>
        <v>0</v>
      </c>
      <c r="G16" s="10">
        <v>0</v>
      </c>
      <c r="H16" s="10">
        <f t="shared" si="0"/>
        <v>0</v>
      </c>
      <c r="I16" s="10">
        <f t="shared" si="1"/>
        <v>0</v>
      </c>
      <c r="J16" s="10">
        <f>'Stavební rozpočet'!F19</f>
        <v>8.95</v>
      </c>
      <c r="K16" s="10">
        <v>0</v>
      </c>
      <c r="L16" s="31">
        <v>8.95</v>
      </c>
      <c r="M16" s="38" t="str">
        <f t="shared" si="2"/>
        <v>Nefakturováno</v>
      </c>
      <c r="N16" s="10">
        <f t="shared" si="3"/>
        <v>0</v>
      </c>
      <c r="O16" s="10">
        <f t="shared" si="4"/>
        <v>-100</v>
      </c>
      <c r="AE16" s="10">
        <v>0</v>
      </c>
    </row>
    <row r="17" spans="1:31" ht="12.75">
      <c r="A17" s="2" t="s">
        <v>10</v>
      </c>
      <c r="B17" s="2" t="s">
        <v>197</v>
      </c>
      <c r="C17" s="2" t="s">
        <v>202</v>
      </c>
      <c r="D17" s="87" t="s">
        <v>418</v>
      </c>
      <c r="E17" s="88"/>
      <c r="F17" s="10">
        <f>'Stavební rozpočet'!J22</f>
        <v>0</v>
      </c>
      <c r="G17" s="10">
        <v>0</v>
      </c>
      <c r="H17" s="10">
        <f t="shared" si="0"/>
        <v>0</v>
      </c>
      <c r="I17" s="10">
        <f t="shared" si="1"/>
        <v>0</v>
      </c>
      <c r="J17" s="10">
        <f>'Stavební rozpočet'!F22</f>
        <v>8.95</v>
      </c>
      <c r="K17" s="10">
        <v>0</v>
      </c>
      <c r="L17" s="31">
        <v>8.95</v>
      </c>
      <c r="M17" s="38" t="str">
        <f t="shared" si="2"/>
        <v>Nefakturováno</v>
      </c>
      <c r="N17" s="10">
        <f t="shared" si="3"/>
        <v>0</v>
      </c>
      <c r="O17" s="10">
        <f t="shared" si="4"/>
        <v>-100</v>
      </c>
      <c r="AE17" s="10">
        <v>0</v>
      </c>
    </row>
    <row r="18" spans="1:31" ht="12.75">
      <c r="A18" s="8"/>
      <c r="B18" s="8" t="s">
        <v>197</v>
      </c>
      <c r="C18" s="8" t="s">
        <v>22</v>
      </c>
      <c r="D18" s="85" t="s">
        <v>419</v>
      </c>
      <c r="E18" s="86"/>
      <c r="F18" s="22">
        <f>SUM(F19:F22)</f>
        <v>0</v>
      </c>
      <c r="G18" s="22">
        <f>SUM(G19:G22)</f>
        <v>0</v>
      </c>
      <c r="H18" s="22">
        <f t="shared" si="0"/>
        <v>0</v>
      </c>
      <c r="I18" s="22">
        <f t="shared" si="1"/>
        <v>0</v>
      </c>
      <c r="J18" s="22">
        <f>SUM(J19:J22)</f>
        <v>145.47</v>
      </c>
      <c r="K18" s="22">
        <f>SUM(K19:K22)</f>
        <v>0</v>
      </c>
      <c r="L18" s="35">
        <f>J18-K18</f>
        <v>145.47</v>
      </c>
      <c r="M18" s="37" t="str">
        <f t="shared" si="2"/>
        <v>Nefakturováno</v>
      </c>
      <c r="N18" s="22">
        <f t="shared" si="3"/>
        <v>0</v>
      </c>
      <c r="O18" s="22">
        <f t="shared" si="4"/>
        <v>-100</v>
      </c>
      <c r="AE18" s="10">
        <v>0</v>
      </c>
    </row>
    <row r="19" spans="1:31" ht="12.75">
      <c r="A19" s="2" t="s">
        <v>11</v>
      </c>
      <c r="B19" s="2" t="s">
        <v>197</v>
      </c>
      <c r="C19" s="2" t="s">
        <v>203</v>
      </c>
      <c r="D19" s="87" t="s">
        <v>420</v>
      </c>
      <c r="E19" s="88"/>
      <c r="F19" s="10">
        <f>'Stavební rozpočet'!J24</f>
        <v>0</v>
      </c>
      <c r="G19" s="10">
        <v>0</v>
      </c>
      <c r="H19" s="10">
        <f t="shared" si="0"/>
        <v>0</v>
      </c>
      <c r="I19" s="10">
        <f t="shared" si="1"/>
        <v>0</v>
      </c>
      <c r="J19" s="10">
        <f>'Stavební rozpočet'!F24</f>
        <v>11.19</v>
      </c>
      <c r="K19" s="10">
        <v>0</v>
      </c>
      <c r="L19" s="31">
        <v>11.19</v>
      </c>
      <c r="M19" s="38" t="str">
        <f t="shared" si="2"/>
        <v>Nefakturováno</v>
      </c>
      <c r="N19" s="10">
        <f t="shared" si="3"/>
        <v>0</v>
      </c>
      <c r="O19" s="10">
        <f t="shared" si="4"/>
        <v>-100</v>
      </c>
      <c r="AE19" s="10">
        <v>0</v>
      </c>
    </row>
    <row r="20" spans="1:31" ht="12.75">
      <c r="A20" s="2" t="s">
        <v>12</v>
      </c>
      <c r="B20" s="2" t="s">
        <v>197</v>
      </c>
      <c r="C20" s="2" t="s">
        <v>204</v>
      </c>
      <c r="D20" s="87" t="s">
        <v>423</v>
      </c>
      <c r="E20" s="88"/>
      <c r="F20" s="10">
        <f>'Stavební rozpočet'!J27</f>
        <v>0</v>
      </c>
      <c r="G20" s="10">
        <v>0</v>
      </c>
      <c r="H20" s="10">
        <f t="shared" si="0"/>
        <v>0</v>
      </c>
      <c r="I20" s="10">
        <f t="shared" si="1"/>
        <v>0</v>
      </c>
      <c r="J20" s="10">
        <f>'Stavební rozpočet'!F27</f>
        <v>11.19</v>
      </c>
      <c r="K20" s="10">
        <v>0</v>
      </c>
      <c r="L20" s="31">
        <v>11.19</v>
      </c>
      <c r="M20" s="38" t="str">
        <f t="shared" si="2"/>
        <v>Nefakturováno</v>
      </c>
      <c r="N20" s="10">
        <f t="shared" si="3"/>
        <v>0</v>
      </c>
      <c r="O20" s="10">
        <f t="shared" si="4"/>
        <v>-100</v>
      </c>
      <c r="AE20" s="10">
        <v>0</v>
      </c>
    </row>
    <row r="21" spans="1:31" ht="12.75">
      <c r="A21" s="2" t="s">
        <v>13</v>
      </c>
      <c r="B21" s="2" t="s">
        <v>197</v>
      </c>
      <c r="C21" s="2" t="s">
        <v>205</v>
      </c>
      <c r="D21" s="87" t="s">
        <v>424</v>
      </c>
      <c r="E21" s="88"/>
      <c r="F21" s="10">
        <f>'Stavební rozpočet'!J28</f>
        <v>0</v>
      </c>
      <c r="G21" s="10">
        <v>0</v>
      </c>
      <c r="H21" s="10">
        <f t="shared" si="0"/>
        <v>0</v>
      </c>
      <c r="I21" s="10">
        <f t="shared" si="1"/>
        <v>0</v>
      </c>
      <c r="J21" s="10">
        <f>'Stavební rozpočet'!F28</f>
        <v>111.9</v>
      </c>
      <c r="K21" s="10">
        <v>0</v>
      </c>
      <c r="L21" s="31">
        <v>111.9</v>
      </c>
      <c r="M21" s="38" t="str">
        <f t="shared" si="2"/>
        <v>Nefakturováno</v>
      </c>
      <c r="N21" s="10">
        <f t="shared" si="3"/>
        <v>0</v>
      </c>
      <c r="O21" s="10">
        <f t="shared" si="4"/>
        <v>-100</v>
      </c>
      <c r="AE21" s="10">
        <v>0</v>
      </c>
    </row>
    <row r="22" spans="1:31" ht="12.75">
      <c r="A22" s="2" t="s">
        <v>14</v>
      </c>
      <c r="B22" s="2" t="s">
        <v>197</v>
      </c>
      <c r="C22" s="2" t="s">
        <v>206</v>
      </c>
      <c r="D22" s="87" t="s">
        <v>426</v>
      </c>
      <c r="E22" s="88"/>
      <c r="F22" s="10">
        <f>'Stavební rozpočet'!J30</f>
        <v>0</v>
      </c>
      <c r="G22" s="10">
        <v>0</v>
      </c>
      <c r="H22" s="10">
        <f t="shared" si="0"/>
        <v>0</v>
      </c>
      <c r="I22" s="10">
        <f t="shared" si="1"/>
        <v>0</v>
      </c>
      <c r="J22" s="10">
        <f>'Stavební rozpočet'!F30</f>
        <v>11.19</v>
      </c>
      <c r="K22" s="10">
        <v>0</v>
      </c>
      <c r="L22" s="31">
        <v>11.19</v>
      </c>
      <c r="M22" s="38" t="str">
        <f t="shared" si="2"/>
        <v>Nefakturováno</v>
      </c>
      <c r="N22" s="10">
        <f t="shared" si="3"/>
        <v>0</v>
      </c>
      <c r="O22" s="10">
        <f t="shared" si="4"/>
        <v>-100</v>
      </c>
      <c r="AE22" s="10">
        <v>0</v>
      </c>
    </row>
    <row r="23" spans="1:31" ht="12.75">
      <c r="A23" s="8"/>
      <c r="B23" s="8" t="s">
        <v>197</v>
      </c>
      <c r="C23" s="8" t="s">
        <v>23</v>
      </c>
      <c r="D23" s="85" t="s">
        <v>427</v>
      </c>
      <c r="E23" s="86"/>
      <c r="F23" s="22">
        <f>SUM(F24:F26)</f>
        <v>0</v>
      </c>
      <c r="G23" s="22">
        <f>SUM(G24:G26)</f>
        <v>0</v>
      </c>
      <c r="H23" s="22">
        <f t="shared" si="0"/>
        <v>0</v>
      </c>
      <c r="I23" s="22">
        <f t="shared" si="1"/>
        <v>0</v>
      </c>
      <c r="J23" s="22">
        <f>SUM(J24:J26)</f>
        <v>20.45</v>
      </c>
      <c r="K23" s="22">
        <f>SUM(K24:K26)</f>
        <v>0</v>
      </c>
      <c r="L23" s="35">
        <f>J23-K23</f>
        <v>20.45</v>
      </c>
      <c r="M23" s="37" t="str">
        <f t="shared" si="2"/>
        <v>Nefakturováno</v>
      </c>
      <c r="N23" s="22">
        <f t="shared" si="3"/>
        <v>0</v>
      </c>
      <c r="O23" s="22">
        <f t="shared" si="4"/>
        <v>-100</v>
      </c>
      <c r="AE23" s="10">
        <v>0</v>
      </c>
    </row>
    <row r="24" spans="1:31" ht="12.75">
      <c r="A24" s="2" t="s">
        <v>15</v>
      </c>
      <c r="B24" s="2" t="s">
        <v>197</v>
      </c>
      <c r="C24" s="2" t="s">
        <v>207</v>
      </c>
      <c r="D24" s="87" t="s">
        <v>428</v>
      </c>
      <c r="E24" s="88"/>
      <c r="F24" s="10">
        <f>'Stavební rozpočet'!J32</f>
        <v>0</v>
      </c>
      <c r="G24" s="10">
        <v>0</v>
      </c>
      <c r="H24" s="10">
        <f t="shared" si="0"/>
        <v>0</v>
      </c>
      <c r="I24" s="10">
        <f t="shared" si="1"/>
        <v>0</v>
      </c>
      <c r="J24" s="10">
        <f>'Stavební rozpočet'!F32</f>
        <v>16.1</v>
      </c>
      <c r="K24" s="10">
        <v>0</v>
      </c>
      <c r="L24" s="31">
        <v>16.1</v>
      </c>
      <c r="M24" s="38" t="str">
        <f t="shared" si="2"/>
        <v>Nefakturováno</v>
      </c>
      <c r="N24" s="10">
        <f t="shared" si="3"/>
        <v>0</v>
      </c>
      <c r="O24" s="10">
        <f t="shared" si="4"/>
        <v>-100</v>
      </c>
      <c r="AE24" s="10">
        <v>0</v>
      </c>
    </row>
    <row r="25" spans="1:31" ht="12.75">
      <c r="A25" s="2" t="s">
        <v>16</v>
      </c>
      <c r="B25" s="2" t="s">
        <v>197</v>
      </c>
      <c r="C25" s="2" t="s">
        <v>208</v>
      </c>
      <c r="D25" s="87" t="s">
        <v>429</v>
      </c>
      <c r="E25" s="88"/>
      <c r="F25" s="10">
        <f>'Stavební rozpočet'!J33</f>
        <v>0</v>
      </c>
      <c r="G25" s="10">
        <v>0</v>
      </c>
      <c r="H25" s="10">
        <f t="shared" si="0"/>
        <v>0</v>
      </c>
      <c r="I25" s="10">
        <f t="shared" si="1"/>
        <v>0</v>
      </c>
      <c r="J25" s="10">
        <f>'Stavební rozpočet'!F33</f>
        <v>2.86</v>
      </c>
      <c r="K25" s="10">
        <v>0</v>
      </c>
      <c r="L25" s="31">
        <v>2.86</v>
      </c>
      <c r="M25" s="38" t="str">
        <f t="shared" si="2"/>
        <v>Nefakturováno</v>
      </c>
      <c r="N25" s="10">
        <f t="shared" si="3"/>
        <v>0</v>
      </c>
      <c r="O25" s="10">
        <f t="shared" si="4"/>
        <v>-100</v>
      </c>
      <c r="AE25" s="10">
        <v>0</v>
      </c>
    </row>
    <row r="26" spans="1:31" ht="12.75">
      <c r="A26" s="2" t="s">
        <v>17</v>
      </c>
      <c r="B26" s="2" t="s">
        <v>197</v>
      </c>
      <c r="C26" s="2" t="s">
        <v>209</v>
      </c>
      <c r="D26" s="87" t="s">
        <v>431</v>
      </c>
      <c r="E26" s="88"/>
      <c r="F26" s="10">
        <f>'Stavební rozpočet'!J35</f>
        <v>0</v>
      </c>
      <c r="G26" s="10">
        <v>0</v>
      </c>
      <c r="H26" s="10">
        <f t="shared" si="0"/>
        <v>0</v>
      </c>
      <c r="I26" s="10">
        <f t="shared" si="1"/>
        <v>0</v>
      </c>
      <c r="J26" s="10">
        <f>'Stavební rozpočet'!F35</f>
        <v>1.49</v>
      </c>
      <c r="K26" s="10">
        <v>0</v>
      </c>
      <c r="L26" s="31">
        <v>1.49</v>
      </c>
      <c r="M26" s="38" t="str">
        <f t="shared" si="2"/>
        <v>Nefakturováno</v>
      </c>
      <c r="N26" s="10">
        <f t="shared" si="3"/>
        <v>0</v>
      </c>
      <c r="O26" s="10">
        <f t="shared" si="4"/>
        <v>-100</v>
      </c>
      <c r="AE26" s="10">
        <v>0</v>
      </c>
    </row>
    <row r="27" spans="1:31" ht="12.75">
      <c r="A27" s="8"/>
      <c r="B27" s="8" t="s">
        <v>197</v>
      </c>
      <c r="C27" s="8" t="s">
        <v>33</v>
      </c>
      <c r="D27" s="85" t="s">
        <v>433</v>
      </c>
      <c r="E27" s="86"/>
      <c r="F27" s="22">
        <f>SUM(F28:F40)</f>
        <v>0</v>
      </c>
      <c r="G27" s="22">
        <f>SUM(G28:G40)</f>
        <v>0</v>
      </c>
      <c r="H27" s="22">
        <f t="shared" si="0"/>
        <v>0</v>
      </c>
      <c r="I27" s="22">
        <f t="shared" si="1"/>
        <v>0</v>
      </c>
      <c r="J27" s="22">
        <f>SUM(J28:J40)</f>
        <v>41.06</v>
      </c>
      <c r="K27" s="22">
        <f>SUM(K28:K40)</f>
        <v>0</v>
      </c>
      <c r="L27" s="35">
        <f>J27-K27</f>
        <v>41.06</v>
      </c>
      <c r="M27" s="37" t="str">
        <f t="shared" si="2"/>
        <v>Nefakturováno</v>
      </c>
      <c r="N27" s="22">
        <f t="shared" si="3"/>
        <v>0</v>
      </c>
      <c r="O27" s="22">
        <f t="shared" si="4"/>
        <v>-100</v>
      </c>
      <c r="AE27" s="10">
        <v>0</v>
      </c>
    </row>
    <row r="28" spans="1:31" ht="12.75">
      <c r="A28" s="2" t="s">
        <v>18</v>
      </c>
      <c r="B28" s="2" t="s">
        <v>197</v>
      </c>
      <c r="C28" s="2" t="s">
        <v>210</v>
      </c>
      <c r="D28" s="87" t="s">
        <v>434</v>
      </c>
      <c r="E28" s="88"/>
      <c r="F28" s="10">
        <f>'Stavební rozpočet'!J38</f>
        <v>0</v>
      </c>
      <c r="G28" s="10">
        <v>0</v>
      </c>
      <c r="H28" s="10">
        <f t="shared" si="0"/>
        <v>0</v>
      </c>
      <c r="I28" s="10">
        <f t="shared" si="1"/>
        <v>0</v>
      </c>
      <c r="J28" s="10">
        <f>'Stavební rozpočet'!F38</f>
        <v>1.19</v>
      </c>
      <c r="K28" s="10">
        <v>0</v>
      </c>
      <c r="L28" s="31">
        <v>1.19</v>
      </c>
      <c r="M28" s="38" t="str">
        <f t="shared" si="2"/>
        <v>Nefakturováno</v>
      </c>
      <c r="N28" s="10">
        <f t="shared" si="3"/>
        <v>0</v>
      </c>
      <c r="O28" s="10">
        <f t="shared" si="4"/>
        <v>-100</v>
      </c>
      <c r="AE28" s="10">
        <v>0</v>
      </c>
    </row>
    <row r="29" spans="1:31" ht="12.75">
      <c r="A29" s="2" t="s">
        <v>19</v>
      </c>
      <c r="B29" s="2" t="s">
        <v>197</v>
      </c>
      <c r="C29" s="2" t="s">
        <v>211</v>
      </c>
      <c r="D29" s="87" t="s">
        <v>438</v>
      </c>
      <c r="E29" s="88"/>
      <c r="F29" s="10">
        <f>'Stavební rozpočet'!J42</f>
        <v>0</v>
      </c>
      <c r="G29" s="10">
        <v>0</v>
      </c>
      <c r="H29" s="10">
        <f t="shared" si="0"/>
        <v>0</v>
      </c>
      <c r="I29" s="10">
        <f t="shared" si="1"/>
        <v>0</v>
      </c>
      <c r="J29" s="10">
        <f>'Stavební rozpočet'!F42</f>
        <v>5.96</v>
      </c>
      <c r="K29" s="10">
        <v>0</v>
      </c>
      <c r="L29" s="31">
        <v>5.96</v>
      </c>
      <c r="M29" s="38" t="str">
        <f t="shared" si="2"/>
        <v>Nefakturováno</v>
      </c>
      <c r="N29" s="10">
        <f t="shared" si="3"/>
        <v>0</v>
      </c>
      <c r="O29" s="10">
        <f t="shared" si="4"/>
        <v>-100</v>
      </c>
      <c r="AE29" s="10">
        <v>0</v>
      </c>
    </row>
    <row r="30" spans="1:31" ht="12.75">
      <c r="A30" s="2" t="s">
        <v>20</v>
      </c>
      <c r="B30" s="2" t="s">
        <v>197</v>
      </c>
      <c r="C30" s="2" t="s">
        <v>212</v>
      </c>
      <c r="D30" s="87" t="s">
        <v>442</v>
      </c>
      <c r="E30" s="88"/>
      <c r="F30" s="10">
        <f>'Stavební rozpočet'!J46</f>
        <v>0</v>
      </c>
      <c r="G30" s="10">
        <v>0</v>
      </c>
      <c r="H30" s="10">
        <f t="shared" si="0"/>
        <v>0</v>
      </c>
      <c r="I30" s="10">
        <f t="shared" si="1"/>
        <v>0</v>
      </c>
      <c r="J30" s="10">
        <f>'Stavební rozpočet'!F46</f>
        <v>6.23</v>
      </c>
      <c r="K30" s="10">
        <v>0</v>
      </c>
      <c r="L30" s="31">
        <v>6.23</v>
      </c>
      <c r="M30" s="38" t="str">
        <f t="shared" si="2"/>
        <v>Nefakturováno</v>
      </c>
      <c r="N30" s="10">
        <f t="shared" si="3"/>
        <v>0</v>
      </c>
      <c r="O30" s="10">
        <f t="shared" si="4"/>
        <v>-100</v>
      </c>
      <c r="AE30" s="10">
        <v>0</v>
      </c>
    </row>
    <row r="31" spans="1:31" ht="12.75">
      <c r="A31" s="2" t="s">
        <v>21</v>
      </c>
      <c r="B31" s="2" t="s">
        <v>197</v>
      </c>
      <c r="C31" s="2" t="s">
        <v>213</v>
      </c>
      <c r="D31" s="87" t="s">
        <v>445</v>
      </c>
      <c r="E31" s="88"/>
      <c r="F31" s="10">
        <f>'Stavební rozpočet'!J49</f>
        <v>0</v>
      </c>
      <c r="G31" s="10">
        <v>0</v>
      </c>
      <c r="H31" s="10">
        <f t="shared" si="0"/>
        <v>0</v>
      </c>
      <c r="I31" s="10">
        <f t="shared" si="1"/>
        <v>0</v>
      </c>
      <c r="J31" s="10">
        <f>'Stavební rozpočet'!F49</f>
        <v>2</v>
      </c>
      <c r="K31" s="10">
        <v>0</v>
      </c>
      <c r="L31" s="31">
        <v>2</v>
      </c>
      <c r="M31" s="38" t="str">
        <f t="shared" si="2"/>
        <v>Nefakturováno</v>
      </c>
      <c r="N31" s="10">
        <f t="shared" si="3"/>
        <v>0</v>
      </c>
      <c r="O31" s="10">
        <f t="shared" si="4"/>
        <v>-100</v>
      </c>
      <c r="AE31" s="10">
        <v>0</v>
      </c>
    </row>
    <row r="32" spans="1:31" ht="12.75">
      <c r="A32" s="2" t="s">
        <v>22</v>
      </c>
      <c r="B32" s="2" t="s">
        <v>197</v>
      </c>
      <c r="C32" s="2" t="s">
        <v>214</v>
      </c>
      <c r="D32" s="87" t="s">
        <v>446</v>
      </c>
      <c r="E32" s="88"/>
      <c r="F32" s="10">
        <f>'Stavební rozpočet'!J50</f>
        <v>0</v>
      </c>
      <c r="G32" s="10">
        <v>0</v>
      </c>
      <c r="H32" s="10">
        <f t="shared" si="0"/>
        <v>0</v>
      </c>
      <c r="I32" s="10">
        <f t="shared" si="1"/>
        <v>0</v>
      </c>
      <c r="J32" s="10">
        <f>'Stavební rozpočet'!F50</f>
        <v>0.1</v>
      </c>
      <c r="K32" s="10">
        <v>0</v>
      </c>
      <c r="L32" s="31">
        <v>0.102</v>
      </c>
      <c r="M32" s="38" t="str">
        <f t="shared" si="2"/>
        <v>Nefakturováno</v>
      </c>
      <c r="N32" s="10">
        <f t="shared" si="3"/>
        <v>0</v>
      </c>
      <c r="O32" s="10">
        <f t="shared" si="4"/>
        <v>-100</v>
      </c>
      <c r="AE32" s="10">
        <v>0</v>
      </c>
    </row>
    <row r="33" spans="1:31" ht="12.75">
      <c r="A33" s="2" t="s">
        <v>23</v>
      </c>
      <c r="B33" s="2" t="s">
        <v>197</v>
      </c>
      <c r="C33" s="2" t="s">
        <v>215</v>
      </c>
      <c r="D33" s="87" t="s">
        <v>447</v>
      </c>
      <c r="E33" s="88"/>
      <c r="F33" s="10">
        <f>'Stavební rozpočet'!J51</f>
        <v>0</v>
      </c>
      <c r="G33" s="10">
        <v>0</v>
      </c>
      <c r="H33" s="10">
        <f t="shared" si="0"/>
        <v>0</v>
      </c>
      <c r="I33" s="10">
        <f t="shared" si="1"/>
        <v>0</v>
      </c>
      <c r="J33" s="10">
        <f>'Stavební rozpočet'!F51</f>
        <v>0.6</v>
      </c>
      <c r="K33" s="10">
        <v>0</v>
      </c>
      <c r="L33" s="31">
        <v>0.6</v>
      </c>
      <c r="M33" s="38" t="str">
        <f t="shared" si="2"/>
        <v>Nefakturováno</v>
      </c>
      <c r="N33" s="10">
        <f t="shared" si="3"/>
        <v>0</v>
      </c>
      <c r="O33" s="10">
        <f t="shared" si="4"/>
        <v>-100</v>
      </c>
      <c r="AE33" s="10">
        <v>0</v>
      </c>
    </row>
    <row r="34" spans="1:31" ht="12.75">
      <c r="A34" s="2" t="s">
        <v>24</v>
      </c>
      <c r="B34" s="2" t="s">
        <v>197</v>
      </c>
      <c r="C34" s="2" t="s">
        <v>216</v>
      </c>
      <c r="D34" s="87" t="s">
        <v>449</v>
      </c>
      <c r="E34" s="88"/>
      <c r="F34" s="10">
        <f>'Stavební rozpočet'!J53</f>
        <v>0</v>
      </c>
      <c r="G34" s="10">
        <v>0</v>
      </c>
      <c r="H34" s="10">
        <f t="shared" si="0"/>
        <v>0</v>
      </c>
      <c r="I34" s="10">
        <f t="shared" si="1"/>
        <v>0</v>
      </c>
      <c r="J34" s="10">
        <f>'Stavební rozpočet'!F53</f>
        <v>2.5</v>
      </c>
      <c r="K34" s="10">
        <v>0</v>
      </c>
      <c r="L34" s="31">
        <v>2.5</v>
      </c>
      <c r="M34" s="38" t="str">
        <f t="shared" si="2"/>
        <v>Nefakturováno</v>
      </c>
      <c r="N34" s="10">
        <f t="shared" si="3"/>
        <v>0</v>
      </c>
      <c r="O34" s="10">
        <f t="shared" si="4"/>
        <v>-100</v>
      </c>
      <c r="AE34" s="10">
        <v>0</v>
      </c>
    </row>
    <row r="35" spans="1:31" ht="12.75">
      <c r="A35" s="2" t="s">
        <v>25</v>
      </c>
      <c r="B35" s="2" t="s">
        <v>197</v>
      </c>
      <c r="C35" s="2" t="s">
        <v>217</v>
      </c>
      <c r="D35" s="87" t="s">
        <v>451</v>
      </c>
      <c r="E35" s="88"/>
      <c r="F35" s="10">
        <f>'Stavební rozpočet'!J55</f>
        <v>0</v>
      </c>
      <c r="G35" s="10">
        <v>0</v>
      </c>
      <c r="H35" s="10">
        <f t="shared" si="0"/>
        <v>0</v>
      </c>
      <c r="I35" s="10">
        <f t="shared" si="1"/>
        <v>0</v>
      </c>
      <c r="J35" s="10">
        <f>'Stavební rozpočet'!F55</f>
        <v>6.06</v>
      </c>
      <c r="K35" s="10">
        <v>0</v>
      </c>
      <c r="L35" s="31">
        <v>6.06</v>
      </c>
      <c r="M35" s="38" t="str">
        <f t="shared" si="2"/>
        <v>Nefakturováno</v>
      </c>
      <c r="N35" s="10">
        <f t="shared" si="3"/>
        <v>0</v>
      </c>
      <c r="O35" s="10">
        <f t="shared" si="4"/>
        <v>-100</v>
      </c>
      <c r="AE35" s="10">
        <v>0</v>
      </c>
    </row>
    <row r="36" spans="1:31" ht="12.75">
      <c r="A36" s="2" t="s">
        <v>26</v>
      </c>
      <c r="B36" s="2" t="s">
        <v>197</v>
      </c>
      <c r="C36" s="2" t="s">
        <v>218</v>
      </c>
      <c r="D36" s="87" t="s">
        <v>453</v>
      </c>
      <c r="E36" s="88"/>
      <c r="F36" s="10">
        <f>'Stavební rozpočet'!J57</f>
        <v>0</v>
      </c>
      <c r="G36" s="10">
        <v>0</v>
      </c>
      <c r="H36" s="10">
        <f t="shared" si="0"/>
        <v>0</v>
      </c>
      <c r="I36" s="10">
        <f t="shared" si="1"/>
        <v>0</v>
      </c>
      <c r="J36" s="10">
        <f>'Stavební rozpočet'!F57</f>
        <v>4.21</v>
      </c>
      <c r="K36" s="10">
        <v>0</v>
      </c>
      <c r="L36" s="31">
        <v>4.21</v>
      </c>
      <c r="M36" s="38" t="str">
        <f t="shared" si="2"/>
        <v>Nefakturováno</v>
      </c>
      <c r="N36" s="10">
        <f t="shared" si="3"/>
        <v>0</v>
      </c>
      <c r="O36" s="10">
        <f t="shared" si="4"/>
        <v>-100</v>
      </c>
      <c r="AE36" s="10">
        <v>0</v>
      </c>
    </row>
    <row r="37" spans="1:31" ht="12.75">
      <c r="A37" s="2" t="s">
        <v>27</v>
      </c>
      <c r="B37" s="2" t="s">
        <v>197</v>
      </c>
      <c r="C37" s="2" t="s">
        <v>219</v>
      </c>
      <c r="D37" s="87" t="s">
        <v>455</v>
      </c>
      <c r="E37" s="88"/>
      <c r="F37" s="10">
        <f>'Stavební rozpočet'!J59</f>
        <v>0</v>
      </c>
      <c r="G37" s="10">
        <v>0</v>
      </c>
      <c r="H37" s="10">
        <f t="shared" si="0"/>
        <v>0</v>
      </c>
      <c r="I37" s="10">
        <f t="shared" si="1"/>
        <v>0</v>
      </c>
      <c r="J37" s="10">
        <f>'Stavební rozpočet'!F59</f>
        <v>4.21</v>
      </c>
      <c r="K37" s="10">
        <v>0</v>
      </c>
      <c r="L37" s="31">
        <v>4.21</v>
      </c>
      <c r="M37" s="38" t="str">
        <f t="shared" si="2"/>
        <v>Nefakturováno</v>
      </c>
      <c r="N37" s="10">
        <f t="shared" si="3"/>
        <v>0</v>
      </c>
      <c r="O37" s="10">
        <f t="shared" si="4"/>
        <v>-100</v>
      </c>
      <c r="AE37" s="10">
        <v>0</v>
      </c>
    </row>
    <row r="38" spans="1:31" ht="12.75">
      <c r="A38" s="2" t="s">
        <v>28</v>
      </c>
      <c r="B38" s="2" t="s">
        <v>197</v>
      </c>
      <c r="C38" s="2" t="s">
        <v>220</v>
      </c>
      <c r="D38" s="87" t="s">
        <v>456</v>
      </c>
      <c r="E38" s="88"/>
      <c r="F38" s="10">
        <f>'Stavební rozpočet'!J60</f>
        <v>0</v>
      </c>
      <c r="G38" s="10">
        <v>0</v>
      </c>
      <c r="H38" s="10">
        <f t="shared" si="0"/>
        <v>0</v>
      </c>
      <c r="I38" s="10">
        <f t="shared" si="1"/>
        <v>0</v>
      </c>
      <c r="J38" s="10">
        <f>'Stavební rozpočet'!F60</f>
        <v>0.14</v>
      </c>
      <c r="K38" s="10">
        <v>0</v>
      </c>
      <c r="L38" s="31">
        <v>0.14</v>
      </c>
      <c r="M38" s="38" t="str">
        <f t="shared" si="2"/>
        <v>Nefakturováno</v>
      </c>
      <c r="N38" s="10">
        <f t="shared" si="3"/>
        <v>0</v>
      </c>
      <c r="O38" s="10">
        <f t="shared" si="4"/>
        <v>-100</v>
      </c>
      <c r="AE38" s="10">
        <v>0</v>
      </c>
    </row>
    <row r="39" spans="1:31" ht="12.75">
      <c r="A39" s="2" t="s">
        <v>29</v>
      </c>
      <c r="B39" s="2" t="s">
        <v>197</v>
      </c>
      <c r="C39" s="2" t="s">
        <v>221</v>
      </c>
      <c r="D39" s="87" t="s">
        <v>458</v>
      </c>
      <c r="E39" s="88"/>
      <c r="F39" s="10">
        <f>'Stavební rozpočet'!J62</f>
        <v>0</v>
      </c>
      <c r="G39" s="10">
        <v>0</v>
      </c>
      <c r="H39" s="10">
        <f t="shared" si="0"/>
        <v>0</v>
      </c>
      <c r="I39" s="10">
        <f t="shared" si="1"/>
        <v>0</v>
      </c>
      <c r="J39" s="10">
        <f>'Stavební rozpočet'!F62</f>
        <v>4.21</v>
      </c>
      <c r="K39" s="10">
        <v>0</v>
      </c>
      <c r="L39" s="31">
        <v>4.21</v>
      </c>
      <c r="M39" s="38" t="str">
        <f t="shared" si="2"/>
        <v>Nefakturováno</v>
      </c>
      <c r="N39" s="10">
        <f t="shared" si="3"/>
        <v>0</v>
      </c>
      <c r="O39" s="10">
        <f t="shared" si="4"/>
        <v>-100</v>
      </c>
      <c r="AE39" s="10">
        <v>0</v>
      </c>
    </row>
    <row r="40" spans="1:31" ht="12.75">
      <c r="A40" s="2" t="s">
        <v>30</v>
      </c>
      <c r="B40" s="2" t="s">
        <v>197</v>
      </c>
      <c r="C40" s="2" t="s">
        <v>222</v>
      </c>
      <c r="D40" s="87" t="s">
        <v>459</v>
      </c>
      <c r="E40" s="88"/>
      <c r="F40" s="10">
        <f>'Stavební rozpočet'!J63</f>
        <v>0</v>
      </c>
      <c r="G40" s="10">
        <v>0</v>
      </c>
      <c r="H40" s="10">
        <f t="shared" si="0"/>
        <v>0</v>
      </c>
      <c r="I40" s="10">
        <f t="shared" si="1"/>
        <v>0</v>
      </c>
      <c r="J40" s="10">
        <f>'Stavební rozpočet'!F63</f>
        <v>3.65</v>
      </c>
      <c r="K40" s="10">
        <v>0</v>
      </c>
      <c r="L40" s="31">
        <v>3.65</v>
      </c>
      <c r="M40" s="38" t="str">
        <f t="shared" si="2"/>
        <v>Nefakturováno</v>
      </c>
      <c r="N40" s="10">
        <f t="shared" si="3"/>
        <v>0</v>
      </c>
      <c r="O40" s="10">
        <f t="shared" si="4"/>
        <v>-100</v>
      </c>
      <c r="AE40" s="10">
        <v>0</v>
      </c>
    </row>
    <row r="41" spans="1:31" ht="12.75">
      <c r="A41" s="8"/>
      <c r="B41" s="8" t="s">
        <v>197</v>
      </c>
      <c r="C41" s="8" t="s">
        <v>37</v>
      </c>
      <c r="D41" s="85" t="s">
        <v>462</v>
      </c>
      <c r="E41" s="86"/>
      <c r="F41" s="22">
        <f>SUM(F42:F48)</f>
        <v>0</v>
      </c>
      <c r="G41" s="22">
        <f>SUM(G42:G48)</f>
        <v>0</v>
      </c>
      <c r="H41" s="22">
        <f t="shared" si="0"/>
        <v>0</v>
      </c>
      <c r="I41" s="22">
        <f t="shared" si="1"/>
        <v>0</v>
      </c>
      <c r="J41" s="22">
        <f>SUM(J42:J48)</f>
        <v>63.35999999999999</v>
      </c>
      <c r="K41" s="22">
        <f>SUM(K42:K48)</f>
        <v>0</v>
      </c>
      <c r="L41" s="35">
        <f>J41-K41</f>
        <v>63.35999999999999</v>
      </c>
      <c r="M41" s="37" t="str">
        <f t="shared" si="2"/>
        <v>Nefakturováno</v>
      </c>
      <c r="N41" s="22">
        <f t="shared" si="3"/>
        <v>0</v>
      </c>
      <c r="O41" s="22">
        <f t="shared" si="4"/>
        <v>-100</v>
      </c>
      <c r="AE41" s="10">
        <v>0</v>
      </c>
    </row>
    <row r="42" spans="1:31" ht="12.75">
      <c r="A42" s="2" t="s">
        <v>31</v>
      </c>
      <c r="B42" s="2" t="s">
        <v>197</v>
      </c>
      <c r="C42" s="2" t="s">
        <v>223</v>
      </c>
      <c r="D42" s="87" t="s">
        <v>463</v>
      </c>
      <c r="E42" s="88"/>
      <c r="F42" s="10">
        <f>'Stavební rozpočet'!J67</f>
        <v>0</v>
      </c>
      <c r="G42" s="10">
        <v>0</v>
      </c>
      <c r="H42" s="10">
        <f t="shared" si="0"/>
        <v>0</v>
      </c>
      <c r="I42" s="10">
        <f t="shared" si="1"/>
        <v>0</v>
      </c>
      <c r="J42" s="10">
        <f>'Stavební rozpočet'!F67</f>
        <v>51.83</v>
      </c>
      <c r="K42" s="10">
        <v>0</v>
      </c>
      <c r="L42" s="31">
        <v>51.83</v>
      </c>
      <c r="M42" s="38" t="str">
        <f t="shared" si="2"/>
        <v>Nefakturováno</v>
      </c>
      <c r="N42" s="10">
        <f t="shared" si="3"/>
        <v>0</v>
      </c>
      <c r="O42" s="10">
        <f t="shared" si="4"/>
        <v>-100</v>
      </c>
      <c r="AE42" s="10">
        <v>0</v>
      </c>
    </row>
    <row r="43" spans="1:31" ht="12.75">
      <c r="A43" s="2" t="s">
        <v>32</v>
      </c>
      <c r="B43" s="2" t="s">
        <v>197</v>
      </c>
      <c r="C43" s="2" t="s">
        <v>224</v>
      </c>
      <c r="D43" s="87" t="s">
        <v>472</v>
      </c>
      <c r="E43" s="88"/>
      <c r="F43" s="10">
        <f>'Stavební rozpočet'!J76</f>
        <v>0</v>
      </c>
      <c r="G43" s="10">
        <v>0</v>
      </c>
      <c r="H43" s="10">
        <f t="shared" si="0"/>
        <v>0</v>
      </c>
      <c r="I43" s="10">
        <f t="shared" si="1"/>
        <v>0</v>
      </c>
      <c r="J43" s="10">
        <f>'Stavební rozpočet'!F76</f>
        <v>5</v>
      </c>
      <c r="K43" s="10">
        <v>0</v>
      </c>
      <c r="L43" s="31">
        <v>5</v>
      </c>
      <c r="M43" s="38" t="str">
        <f t="shared" si="2"/>
        <v>Nefakturováno</v>
      </c>
      <c r="N43" s="10">
        <f t="shared" si="3"/>
        <v>0</v>
      </c>
      <c r="O43" s="10">
        <f t="shared" si="4"/>
        <v>-100</v>
      </c>
      <c r="AE43" s="10">
        <v>0</v>
      </c>
    </row>
    <row r="44" spans="1:31" ht="12.75">
      <c r="A44" s="2" t="s">
        <v>33</v>
      </c>
      <c r="B44" s="2" t="s">
        <v>197</v>
      </c>
      <c r="C44" s="2" t="s">
        <v>225</v>
      </c>
      <c r="D44" s="87" t="s">
        <v>473</v>
      </c>
      <c r="E44" s="88"/>
      <c r="F44" s="10">
        <f>'Stavební rozpočet'!J77</f>
        <v>0</v>
      </c>
      <c r="G44" s="10">
        <v>0</v>
      </c>
      <c r="H44" s="10">
        <f t="shared" si="0"/>
        <v>0</v>
      </c>
      <c r="I44" s="10">
        <f t="shared" si="1"/>
        <v>0</v>
      </c>
      <c r="J44" s="10">
        <f>'Stavební rozpočet'!F77</f>
        <v>1</v>
      </c>
      <c r="K44" s="10">
        <v>0</v>
      </c>
      <c r="L44" s="31">
        <v>1</v>
      </c>
      <c r="M44" s="38" t="str">
        <f t="shared" si="2"/>
        <v>Nefakturováno</v>
      </c>
      <c r="N44" s="10">
        <f t="shared" si="3"/>
        <v>0</v>
      </c>
      <c r="O44" s="10">
        <f t="shared" si="4"/>
        <v>-100</v>
      </c>
      <c r="AE44" s="10">
        <v>0</v>
      </c>
    </row>
    <row r="45" spans="1:31" ht="12.75">
      <c r="A45" s="2" t="s">
        <v>34</v>
      </c>
      <c r="B45" s="2" t="s">
        <v>197</v>
      </c>
      <c r="C45" s="2" t="s">
        <v>226</v>
      </c>
      <c r="D45" s="87" t="s">
        <v>474</v>
      </c>
      <c r="E45" s="88"/>
      <c r="F45" s="10">
        <f>'Stavební rozpočet'!J78</f>
        <v>0</v>
      </c>
      <c r="G45" s="10">
        <v>0</v>
      </c>
      <c r="H45" s="10">
        <f t="shared" si="0"/>
        <v>0</v>
      </c>
      <c r="I45" s="10">
        <f t="shared" si="1"/>
        <v>0</v>
      </c>
      <c r="J45" s="10">
        <f>'Stavební rozpočet'!F78</f>
        <v>0.17</v>
      </c>
      <c r="K45" s="10">
        <v>0</v>
      </c>
      <c r="L45" s="31">
        <v>0.17</v>
      </c>
      <c r="M45" s="38" t="str">
        <f t="shared" si="2"/>
        <v>Nefakturováno</v>
      </c>
      <c r="N45" s="10">
        <f t="shared" si="3"/>
        <v>0</v>
      </c>
      <c r="O45" s="10">
        <f t="shared" si="4"/>
        <v>-100</v>
      </c>
      <c r="AE45" s="10">
        <v>0</v>
      </c>
    </row>
    <row r="46" spans="1:31" ht="12.75">
      <c r="A46" s="2" t="s">
        <v>35</v>
      </c>
      <c r="B46" s="2" t="s">
        <v>197</v>
      </c>
      <c r="C46" s="2" t="s">
        <v>227</v>
      </c>
      <c r="D46" s="87" t="s">
        <v>477</v>
      </c>
      <c r="E46" s="88"/>
      <c r="F46" s="10">
        <f>'Stavební rozpočet'!J81</f>
        <v>0</v>
      </c>
      <c r="G46" s="10">
        <v>0</v>
      </c>
      <c r="H46" s="10">
        <f t="shared" si="0"/>
        <v>0</v>
      </c>
      <c r="I46" s="10">
        <f t="shared" si="1"/>
        <v>0</v>
      </c>
      <c r="J46" s="10">
        <f>'Stavební rozpočet'!F81</f>
        <v>2.66</v>
      </c>
      <c r="K46" s="10">
        <v>0</v>
      </c>
      <c r="L46" s="31">
        <v>2.66</v>
      </c>
      <c r="M46" s="38" t="str">
        <f t="shared" si="2"/>
        <v>Nefakturováno</v>
      </c>
      <c r="N46" s="10">
        <f t="shared" si="3"/>
        <v>0</v>
      </c>
      <c r="O46" s="10">
        <f t="shared" si="4"/>
        <v>-100</v>
      </c>
      <c r="AE46" s="10">
        <v>0</v>
      </c>
    </row>
    <row r="47" spans="1:31" ht="12.75">
      <c r="A47" s="2" t="s">
        <v>36</v>
      </c>
      <c r="B47" s="2" t="s">
        <v>197</v>
      </c>
      <c r="C47" s="2" t="s">
        <v>228</v>
      </c>
      <c r="D47" s="87" t="s">
        <v>482</v>
      </c>
      <c r="E47" s="88"/>
      <c r="F47" s="10">
        <f>'Stavební rozpočet'!J86</f>
        <v>0</v>
      </c>
      <c r="G47" s="10">
        <v>0</v>
      </c>
      <c r="H47" s="10">
        <f t="shared" si="0"/>
        <v>0</v>
      </c>
      <c r="I47" s="10">
        <f t="shared" si="1"/>
        <v>0</v>
      </c>
      <c r="J47" s="10">
        <f>'Stavební rozpočet'!F86</f>
        <v>2.66</v>
      </c>
      <c r="K47" s="10">
        <v>0</v>
      </c>
      <c r="L47" s="31">
        <v>2.66</v>
      </c>
      <c r="M47" s="38" t="str">
        <f t="shared" si="2"/>
        <v>Nefakturováno</v>
      </c>
      <c r="N47" s="10">
        <f t="shared" si="3"/>
        <v>0</v>
      </c>
      <c r="O47" s="10">
        <f t="shared" si="4"/>
        <v>-100</v>
      </c>
      <c r="AE47" s="10">
        <v>0</v>
      </c>
    </row>
    <row r="48" spans="1:31" ht="12.75">
      <c r="A48" s="2" t="s">
        <v>37</v>
      </c>
      <c r="B48" s="2" t="s">
        <v>197</v>
      </c>
      <c r="C48" s="2" t="s">
        <v>229</v>
      </c>
      <c r="D48" s="87" t="s">
        <v>483</v>
      </c>
      <c r="E48" s="88"/>
      <c r="F48" s="10">
        <f>'Stavební rozpočet'!J87</f>
        <v>0</v>
      </c>
      <c r="G48" s="10">
        <v>0</v>
      </c>
      <c r="H48" s="10">
        <f t="shared" si="0"/>
        <v>0</v>
      </c>
      <c r="I48" s="10">
        <f t="shared" si="1"/>
        <v>0</v>
      </c>
      <c r="J48" s="10">
        <f>'Stavební rozpočet'!F87</f>
        <v>0.04</v>
      </c>
      <c r="K48" s="10">
        <v>0</v>
      </c>
      <c r="L48" s="31">
        <v>0.035</v>
      </c>
      <c r="M48" s="38" t="str">
        <f t="shared" si="2"/>
        <v>Nefakturováno</v>
      </c>
      <c r="N48" s="10">
        <f t="shared" si="3"/>
        <v>0</v>
      </c>
      <c r="O48" s="10">
        <f t="shared" si="4"/>
        <v>-100</v>
      </c>
      <c r="AE48" s="10">
        <v>0</v>
      </c>
    </row>
    <row r="49" spans="1:31" ht="12.75">
      <c r="A49" s="8"/>
      <c r="B49" s="8" t="s">
        <v>197</v>
      </c>
      <c r="C49" s="8" t="s">
        <v>40</v>
      </c>
      <c r="D49" s="85" t="s">
        <v>484</v>
      </c>
      <c r="E49" s="86"/>
      <c r="F49" s="22">
        <f>SUM(F50:F51)</f>
        <v>0</v>
      </c>
      <c r="G49" s="22">
        <f>SUM(G50:G51)</f>
        <v>0</v>
      </c>
      <c r="H49" s="22">
        <f t="shared" si="0"/>
        <v>0</v>
      </c>
      <c r="I49" s="22">
        <f t="shared" si="1"/>
        <v>0</v>
      </c>
      <c r="J49" s="22">
        <f>SUM(J50:J51)</f>
        <v>48.77</v>
      </c>
      <c r="K49" s="22">
        <f>SUM(K50:K51)</f>
        <v>0</v>
      </c>
      <c r="L49" s="35">
        <f>J49-K49</f>
        <v>48.77</v>
      </c>
      <c r="M49" s="37" t="str">
        <f t="shared" si="2"/>
        <v>Nefakturováno</v>
      </c>
      <c r="N49" s="22">
        <f t="shared" si="3"/>
        <v>0</v>
      </c>
      <c r="O49" s="22">
        <f t="shared" si="4"/>
        <v>-100</v>
      </c>
      <c r="AE49" s="10">
        <v>0</v>
      </c>
    </row>
    <row r="50" spans="1:31" ht="12.75">
      <c r="A50" s="2" t="s">
        <v>38</v>
      </c>
      <c r="B50" s="2" t="s">
        <v>197</v>
      </c>
      <c r="C50" s="2" t="s">
        <v>230</v>
      </c>
      <c r="D50" s="87" t="s">
        <v>485</v>
      </c>
      <c r="E50" s="88"/>
      <c r="F50" s="10">
        <f>'Stavební rozpočet'!J89</f>
        <v>0</v>
      </c>
      <c r="G50" s="10">
        <v>0</v>
      </c>
      <c r="H50" s="10">
        <f t="shared" si="0"/>
        <v>0</v>
      </c>
      <c r="I50" s="10">
        <f t="shared" si="1"/>
        <v>0</v>
      </c>
      <c r="J50" s="10">
        <f>'Stavební rozpočet'!F89</f>
        <v>35.02</v>
      </c>
      <c r="K50" s="10">
        <v>0</v>
      </c>
      <c r="L50" s="31">
        <v>35.02</v>
      </c>
      <c r="M50" s="38" t="str">
        <f t="shared" si="2"/>
        <v>Nefakturováno</v>
      </c>
      <c r="N50" s="10">
        <f t="shared" si="3"/>
        <v>0</v>
      </c>
      <c r="O50" s="10">
        <f t="shared" si="4"/>
        <v>-100</v>
      </c>
      <c r="AE50" s="10">
        <v>0</v>
      </c>
    </row>
    <row r="51" spans="1:31" ht="12.75">
      <c r="A51" s="2" t="s">
        <v>39</v>
      </c>
      <c r="B51" s="2" t="s">
        <v>197</v>
      </c>
      <c r="C51" s="2" t="s">
        <v>231</v>
      </c>
      <c r="D51" s="87" t="s">
        <v>490</v>
      </c>
      <c r="E51" s="88"/>
      <c r="F51" s="10">
        <f>'Stavební rozpočet'!J94</f>
        <v>0</v>
      </c>
      <c r="G51" s="10">
        <v>0</v>
      </c>
      <c r="H51" s="10">
        <f t="shared" si="0"/>
        <v>0</v>
      </c>
      <c r="I51" s="10">
        <f t="shared" si="1"/>
        <v>0</v>
      </c>
      <c r="J51" s="10">
        <f>'Stavební rozpočet'!F94</f>
        <v>13.75</v>
      </c>
      <c r="K51" s="10">
        <v>0</v>
      </c>
      <c r="L51" s="31">
        <v>13.75</v>
      </c>
      <c r="M51" s="38" t="str">
        <f t="shared" si="2"/>
        <v>Nefakturováno</v>
      </c>
      <c r="N51" s="10">
        <f t="shared" si="3"/>
        <v>0</v>
      </c>
      <c r="O51" s="10">
        <f t="shared" si="4"/>
        <v>-100</v>
      </c>
      <c r="AE51" s="10">
        <v>0</v>
      </c>
    </row>
    <row r="52" spans="1:31" ht="12.75">
      <c r="A52" s="8"/>
      <c r="B52" s="8" t="s">
        <v>197</v>
      </c>
      <c r="C52" s="8" t="s">
        <v>47</v>
      </c>
      <c r="D52" s="85" t="s">
        <v>492</v>
      </c>
      <c r="E52" s="86"/>
      <c r="F52" s="22">
        <f>SUM(F53:F55)</f>
        <v>0</v>
      </c>
      <c r="G52" s="22">
        <f>SUM(G53:G55)</f>
        <v>0</v>
      </c>
      <c r="H52" s="22">
        <f t="shared" si="0"/>
        <v>0</v>
      </c>
      <c r="I52" s="22">
        <f t="shared" si="1"/>
        <v>0</v>
      </c>
      <c r="J52" s="22">
        <f>SUM(J53:J55)</f>
        <v>64.03999999999999</v>
      </c>
      <c r="K52" s="22">
        <f>SUM(K53:K55)</f>
        <v>0</v>
      </c>
      <c r="L52" s="35">
        <f>J52-K52</f>
        <v>64.03999999999999</v>
      </c>
      <c r="M52" s="37" t="str">
        <f t="shared" si="2"/>
        <v>Nefakturováno</v>
      </c>
      <c r="N52" s="22">
        <f t="shared" si="3"/>
        <v>0</v>
      </c>
      <c r="O52" s="22">
        <f t="shared" si="4"/>
        <v>-100</v>
      </c>
      <c r="AE52" s="10">
        <v>0</v>
      </c>
    </row>
    <row r="53" spans="1:31" ht="12.75">
      <c r="A53" s="2" t="s">
        <v>40</v>
      </c>
      <c r="B53" s="2" t="s">
        <v>197</v>
      </c>
      <c r="C53" s="2" t="s">
        <v>232</v>
      </c>
      <c r="D53" s="87" t="s">
        <v>493</v>
      </c>
      <c r="E53" s="88"/>
      <c r="F53" s="10">
        <f>'Stavební rozpočet'!J97</f>
        <v>0</v>
      </c>
      <c r="G53" s="10">
        <v>0</v>
      </c>
      <c r="H53" s="10">
        <f t="shared" si="0"/>
        <v>0</v>
      </c>
      <c r="I53" s="10">
        <f t="shared" si="1"/>
        <v>0</v>
      </c>
      <c r="J53" s="10">
        <f>'Stavební rozpočet'!F97</f>
        <v>6.01</v>
      </c>
      <c r="K53" s="10">
        <v>0</v>
      </c>
      <c r="L53" s="31">
        <v>6.01</v>
      </c>
      <c r="M53" s="38" t="str">
        <f t="shared" si="2"/>
        <v>Nefakturováno</v>
      </c>
      <c r="N53" s="10">
        <f t="shared" si="3"/>
        <v>0</v>
      </c>
      <c r="O53" s="10">
        <f t="shared" si="4"/>
        <v>-100</v>
      </c>
      <c r="AE53" s="10">
        <v>0</v>
      </c>
    </row>
    <row r="54" spans="1:31" ht="12.75">
      <c r="A54" s="2" t="s">
        <v>41</v>
      </c>
      <c r="B54" s="2" t="s">
        <v>197</v>
      </c>
      <c r="C54" s="2" t="s">
        <v>233</v>
      </c>
      <c r="D54" s="87" t="s">
        <v>495</v>
      </c>
      <c r="E54" s="88"/>
      <c r="F54" s="10">
        <f>'Stavební rozpočet'!J99</f>
        <v>0</v>
      </c>
      <c r="G54" s="10">
        <v>0</v>
      </c>
      <c r="H54" s="10">
        <f t="shared" si="0"/>
        <v>0</v>
      </c>
      <c r="I54" s="10">
        <f t="shared" si="1"/>
        <v>0</v>
      </c>
      <c r="J54" s="10">
        <f>'Stavební rozpočet'!F99</f>
        <v>25.3</v>
      </c>
      <c r="K54" s="10">
        <v>0</v>
      </c>
      <c r="L54" s="31">
        <v>25.3</v>
      </c>
      <c r="M54" s="38" t="str">
        <f t="shared" si="2"/>
        <v>Nefakturováno</v>
      </c>
      <c r="N54" s="10">
        <f t="shared" si="3"/>
        <v>0</v>
      </c>
      <c r="O54" s="10">
        <f t="shared" si="4"/>
        <v>-100</v>
      </c>
      <c r="AE54" s="10">
        <v>0</v>
      </c>
    </row>
    <row r="55" spans="1:31" ht="12.75">
      <c r="A55" s="2" t="s">
        <v>42</v>
      </c>
      <c r="B55" s="2" t="s">
        <v>197</v>
      </c>
      <c r="C55" s="2" t="s">
        <v>234</v>
      </c>
      <c r="D55" s="87" t="s">
        <v>498</v>
      </c>
      <c r="E55" s="88"/>
      <c r="F55" s="10">
        <f>'Stavební rozpočet'!J102</f>
        <v>0</v>
      </c>
      <c r="G55" s="10">
        <v>0</v>
      </c>
      <c r="H55" s="10">
        <f t="shared" si="0"/>
        <v>0</v>
      </c>
      <c r="I55" s="10">
        <f t="shared" si="1"/>
        <v>0</v>
      </c>
      <c r="J55" s="10">
        <f>'Stavební rozpočet'!F102</f>
        <v>32.73</v>
      </c>
      <c r="K55" s="10">
        <v>0</v>
      </c>
      <c r="L55" s="31">
        <v>32.73</v>
      </c>
      <c r="M55" s="38" t="str">
        <f t="shared" si="2"/>
        <v>Nefakturováno</v>
      </c>
      <c r="N55" s="10">
        <f t="shared" si="3"/>
        <v>0</v>
      </c>
      <c r="O55" s="10">
        <f t="shared" si="4"/>
        <v>-100</v>
      </c>
      <c r="AE55" s="10">
        <v>0</v>
      </c>
    </row>
    <row r="56" spans="1:31" ht="12.75">
      <c r="A56" s="8"/>
      <c r="B56" s="8" t="s">
        <v>197</v>
      </c>
      <c r="C56" s="8" t="s">
        <v>66</v>
      </c>
      <c r="D56" s="85" t="s">
        <v>499</v>
      </c>
      <c r="E56" s="86"/>
      <c r="F56" s="22">
        <f>SUM(F57:F61)</f>
        <v>0</v>
      </c>
      <c r="G56" s="22">
        <f>SUM(G57:G61)</f>
        <v>0</v>
      </c>
      <c r="H56" s="22">
        <f t="shared" si="0"/>
        <v>0</v>
      </c>
      <c r="I56" s="22">
        <f t="shared" si="1"/>
        <v>0</v>
      </c>
      <c r="J56" s="22">
        <f>SUM(J57:J61)</f>
        <v>350.45000000000005</v>
      </c>
      <c r="K56" s="22">
        <f>SUM(K57:K61)</f>
        <v>0</v>
      </c>
      <c r="L56" s="35">
        <f>J56-K56</f>
        <v>350.45000000000005</v>
      </c>
      <c r="M56" s="37" t="str">
        <f t="shared" si="2"/>
        <v>Nefakturováno</v>
      </c>
      <c r="N56" s="22">
        <f t="shared" si="3"/>
        <v>0</v>
      </c>
      <c r="O56" s="22">
        <f t="shared" si="4"/>
        <v>-100</v>
      </c>
      <c r="AE56" s="10">
        <v>0</v>
      </c>
    </row>
    <row r="57" spans="1:31" ht="12.75">
      <c r="A57" s="2" t="s">
        <v>43</v>
      </c>
      <c r="B57" s="2" t="s">
        <v>197</v>
      </c>
      <c r="C57" s="2" t="s">
        <v>235</v>
      </c>
      <c r="D57" s="87" t="s">
        <v>500</v>
      </c>
      <c r="E57" s="88"/>
      <c r="F57" s="10">
        <f>'Stavební rozpočet'!J104</f>
        <v>0</v>
      </c>
      <c r="G57" s="10">
        <v>0</v>
      </c>
      <c r="H57" s="10">
        <f t="shared" si="0"/>
        <v>0</v>
      </c>
      <c r="I57" s="10">
        <f t="shared" si="1"/>
        <v>0</v>
      </c>
      <c r="J57" s="10">
        <f>'Stavební rozpočet'!F104</f>
        <v>118.05</v>
      </c>
      <c r="K57" s="10">
        <v>0</v>
      </c>
      <c r="L57" s="31">
        <v>118.05</v>
      </c>
      <c r="M57" s="38" t="str">
        <f t="shared" si="2"/>
        <v>Nefakturováno</v>
      </c>
      <c r="N57" s="10">
        <f t="shared" si="3"/>
        <v>0</v>
      </c>
      <c r="O57" s="10">
        <f t="shared" si="4"/>
        <v>-100</v>
      </c>
      <c r="AE57" s="10">
        <v>0</v>
      </c>
    </row>
    <row r="58" spans="1:31" ht="12.75">
      <c r="A58" s="2" t="s">
        <v>44</v>
      </c>
      <c r="B58" s="2" t="s">
        <v>197</v>
      </c>
      <c r="C58" s="2" t="s">
        <v>236</v>
      </c>
      <c r="D58" s="87" t="s">
        <v>512</v>
      </c>
      <c r="E58" s="88"/>
      <c r="F58" s="10">
        <f>'Stavební rozpočet'!J125</f>
        <v>0</v>
      </c>
      <c r="G58" s="10">
        <v>0</v>
      </c>
      <c r="H58" s="10">
        <f t="shared" si="0"/>
        <v>0</v>
      </c>
      <c r="I58" s="10">
        <f t="shared" si="1"/>
        <v>0</v>
      </c>
      <c r="J58" s="10">
        <f>'Stavební rozpočet'!F125</f>
        <v>79.31</v>
      </c>
      <c r="K58" s="10">
        <v>0</v>
      </c>
      <c r="L58" s="31">
        <v>79.31</v>
      </c>
      <c r="M58" s="38" t="str">
        <f t="shared" si="2"/>
        <v>Nefakturováno</v>
      </c>
      <c r="N58" s="10">
        <f t="shared" si="3"/>
        <v>0</v>
      </c>
      <c r="O58" s="10">
        <f t="shared" si="4"/>
        <v>-100</v>
      </c>
      <c r="AE58" s="10">
        <v>0</v>
      </c>
    </row>
    <row r="59" spans="1:31" ht="12.75">
      <c r="A59" s="2" t="s">
        <v>45</v>
      </c>
      <c r="B59" s="2" t="s">
        <v>197</v>
      </c>
      <c r="C59" s="2" t="s">
        <v>237</v>
      </c>
      <c r="D59" s="87" t="s">
        <v>518</v>
      </c>
      <c r="E59" s="88"/>
      <c r="F59" s="10">
        <f>'Stavební rozpočet'!J142</f>
        <v>0</v>
      </c>
      <c r="G59" s="10">
        <v>0</v>
      </c>
      <c r="H59" s="10">
        <f t="shared" si="0"/>
        <v>0</v>
      </c>
      <c r="I59" s="10">
        <f t="shared" si="1"/>
        <v>0</v>
      </c>
      <c r="J59" s="10">
        <f>'Stavební rozpočet'!F142</f>
        <v>51.03</v>
      </c>
      <c r="K59" s="10">
        <v>0</v>
      </c>
      <c r="L59" s="31">
        <v>51.03</v>
      </c>
      <c r="M59" s="38" t="str">
        <f t="shared" si="2"/>
        <v>Nefakturováno</v>
      </c>
      <c r="N59" s="10">
        <f t="shared" si="3"/>
        <v>0</v>
      </c>
      <c r="O59" s="10">
        <f t="shared" si="4"/>
        <v>-100</v>
      </c>
      <c r="AE59" s="10">
        <v>0</v>
      </c>
    </row>
    <row r="60" spans="1:31" ht="12.75">
      <c r="A60" s="2" t="s">
        <v>46</v>
      </c>
      <c r="B60" s="2" t="s">
        <v>197</v>
      </c>
      <c r="C60" s="2" t="s">
        <v>238</v>
      </c>
      <c r="D60" s="87" t="s">
        <v>520</v>
      </c>
      <c r="E60" s="88"/>
      <c r="F60" s="10">
        <f>'Stavební rozpočet'!J144</f>
        <v>0</v>
      </c>
      <c r="G60" s="10">
        <v>0</v>
      </c>
      <c r="H60" s="10">
        <f t="shared" si="0"/>
        <v>0</v>
      </c>
      <c r="I60" s="10">
        <f t="shared" si="1"/>
        <v>0</v>
      </c>
      <c r="J60" s="10">
        <f>'Stavební rozpočet'!F144</f>
        <v>51.03</v>
      </c>
      <c r="K60" s="10">
        <v>0</v>
      </c>
      <c r="L60" s="31">
        <v>51.03</v>
      </c>
      <c r="M60" s="38" t="str">
        <f t="shared" si="2"/>
        <v>Nefakturováno</v>
      </c>
      <c r="N60" s="10">
        <f t="shared" si="3"/>
        <v>0</v>
      </c>
      <c r="O60" s="10">
        <f t="shared" si="4"/>
        <v>-100</v>
      </c>
      <c r="AE60" s="10">
        <v>0</v>
      </c>
    </row>
    <row r="61" spans="1:31" ht="12.75">
      <c r="A61" s="2" t="s">
        <v>47</v>
      </c>
      <c r="B61" s="2" t="s">
        <v>197</v>
      </c>
      <c r="C61" s="2" t="s">
        <v>239</v>
      </c>
      <c r="D61" s="87" t="s">
        <v>521</v>
      </c>
      <c r="E61" s="88"/>
      <c r="F61" s="10">
        <f>'Stavební rozpočet'!J145</f>
        <v>0</v>
      </c>
      <c r="G61" s="10">
        <v>0</v>
      </c>
      <c r="H61" s="10">
        <f t="shared" si="0"/>
        <v>0</v>
      </c>
      <c r="I61" s="10">
        <f t="shared" si="1"/>
        <v>0</v>
      </c>
      <c r="J61" s="10">
        <f>'Stavební rozpočet'!F145</f>
        <v>51.03</v>
      </c>
      <c r="K61" s="10">
        <v>0</v>
      </c>
      <c r="L61" s="31">
        <v>51.03</v>
      </c>
      <c r="M61" s="38" t="str">
        <f t="shared" si="2"/>
        <v>Nefakturováno</v>
      </c>
      <c r="N61" s="10">
        <f t="shared" si="3"/>
        <v>0</v>
      </c>
      <c r="O61" s="10">
        <f t="shared" si="4"/>
        <v>-100</v>
      </c>
      <c r="AE61" s="10">
        <v>0</v>
      </c>
    </row>
    <row r="62" spans="1:31" ht="12.75">
      <c r="A62" s="8"/>
      <c r="B62" s="8" t="s">
        <v>197</v>
      </c>
      <c r="C62" s="8" t="s">
        <v>68</v>
      </c>
      <c r="D62" s="85" t="s">
        <v>530</v>
      </c>
      <c r="E62" s="86"/>
      <c r="F62" s="22">
        <f>SUM(F63:F64)</f>
        <v>0</v>
      </c>
      <c r="G62" s="22">
        <f>SUM(G63:G64)</f>
        <v>0</v>
      </c>
      <c r="H62" s="22">
        <f t="shared" si="0"/>
        <v>0</v>
      </c>
      <c r="I62" s="22">
        <f t="shared" si="1"/>
        <v>0</v>
      </c>
      <c r="J62" s="22">
        <f>SUM(J63:J64)</f>
        <v>49.55</v>
      </c>
      <c r="K62" s="22">
        <f>SUM(K63:K64)</f>
        <v>0</v>
      </c>
      <c r="L62" s="35">
        <f>J62-K62</f>
        <v>49.55</v>
      </c>
      <c r="M62" s="37" t="str">
        <f t="shared" si="2"/>
        <v>Nefakturováno</v>
      </c>
      <c r="N62" s="22">
        <f t="shared" si="3"/>
        <v>0</v>
      </c>
      <c r="O62" s="22">
        <f t="shared" si="4"/>
        <v>-100</v>
      </c>
      <c r="AE62" s="10">
        <v>0</v>
      </c>
    </row>
    <row r="63" spans="1:31" ht="12.75">
      <c r="A63" s="2" t="s">
        <v>48</v>
      </c>
      <c r="B63" s="2" t="s">
        <v>197</v>
      </c>
      <c r="C63" s="2" t="s">
        <v>240</v>
      </c>
      <c r="D63" s="87" t="s">
        <v>531</v>
      </c>
      <c r="E63" s="88"/>
      <c r="F63" s="10">
        <f>'Stavební rozpočet'!J160</f>
        <v>0</v>
      </c>
      <c r="G63" s="10">
        <v>0</v>
      </c>
      <c r="H63" s="10">
        <f t="shared" si="0"/>
        <v>0</v>
      </c>
      <c r="I63" s="10">
        <f t="shared" si="1"/>
        <v>0</v>
      </c>
      <c r="J63" s="10">
        <f>'Stavební rozpočet'!F160</f>
        <v>11.55</v>
      </c>
      <c r="K63" s="10">
        <v>0</v>
      </c>
      <c r="L63" s="31">
        <v>11.55</v>
      </c>
      <c r="M63" s="38" t="str">
        <f t="shared" si="2"/>
        <v>Nefakturováno</v>
      </c>
      <c r="N63" s="10">
        <f t="shared" si="3"/>
        <v>0</v>
      </c>
      <c r="O63" s="10">
        <f t="shared" si="4"/>
        <v>-100</v>
      </c>
      <c r="AE63" s="10">
        <v>0</v>
      </c>
    </row>
    <row r="64" spans="1:31" ht="12.75">
      <c r="A64" s="3" t="s">
        <v>49</v>
      </c>
      <c r="B64" s="3" t="s">
        <v>197</v>
      </c>
      <c r="C64" s="3" t="s">
        <v>241</v>
      </c>
      <c r="D64" s="89" t="s">
        <v>537</v>
      </c>
      <c r="E64" s="90"/>
      <c r="F64" s="11">
        <f>'Stavební rozpočet'!J166</f>
        <v>0</v>
      </c>
      <c r="G64" s="11">
        <v>0</v>
      </c>
      <c r="H64" s="11">
        <f t="shared" si="0"/>
        <v>0</v>
      </c>
      <c r="I64" s="11">
        <f t="shared" si="1"/>
        <v>0</v>
      </c>
      <c r="J64" s="11">
        <f>'Stavební rozpočet'!F166</f>
        <v>38</v>
      </c>
      <c r="K64" s="11">
        <v>0</v>
      </c>
      <c r="L64" s="32">
        <v>38</v>
      </c>
      <c r="M64" s="39" t="str">
        <f t="shared" si="2"/>
        <v>Nefakturováno</v>
      </c>
      <c r="N64" s="11">
        <f t="shared" si="3"/>
        <v>0</v>
      </c>
      <c r="O64" s="11">
        <f t="shared" si="4"/>
        <v>-100</v>
      </c>
      <c r="AE64" s="11">
        <v>0</v>
      </c>
    </row>
    <row r="65" spans="1:31" ht="12.75">
      <c r="A65" s="8"/>
      <c r="B65" s="8" t="s">
        <v>197</v>
      </c>
      <c r="C65" s="8" t="s">
        <v>69</v>
      </c>
      <c r="D65" s="85" t="s">
        <v>538</v>
      </c>
      <c r="E65" s="86"/>
      <c r="F65" s="22">
        <f>SUM(F66:F69)</f>
        <v>0</v>
      </c>
      <c r="G65" s="22">
        <f>SUM(G66:G69)</f>
        <v>0</v>
      </c>
      <c r="H65" s="22">
        <f t="shared" si="0"/>
        <v>0</v>
      </c>
      <c r="I65" s="22">
        <f t="shared" si="1"/>
        <v>0</v>
      </c>
      <c r="J65" s="22">
        <f>SUM(J66:J69)</f>
        <v>38.089999999999996</v>
      </c>
      <c r="K65" s="22">
        <f>SUM(K66:K69)</f>
        <v>0</v>
      </c>
      <c r="L65" s="35">
        <f>J65-K65</f>
        <v>38.089999999999996</v>
      </c>
      <c r="M65" s="37" t="str">
        <f t="shared" si="2"/>
        <v>Nefakturováno</v>
      </c>
      <c r="N65" s="22">
        <f t="shared" si="3"/>
        <v>0</v>
      </c>
      <c r="O65" s="22">
        <f t="shared" si="4"/>
        <v>-100</v>
      </c>
      <c r="AE65" s="11">
        <v>0</v>
      </c>
    </row>
    <row r="66" spans="1:31" ht="12.75">
      <c r="A66" s="2" t="s">
        <v>50</v>
      </c>
      <c r="B66" s="2" t="s">
        <v>197</v>
      </c>
      <c r="C66" s="2" t="s">
        <v>242</v>
      </c>
      <c r="D66" s="87" t="s">
        <v>539</v>
      </c>
      <c r="E66" s="88"/>
      <c r="F66" s="10">
        <f>'Stavební rozpočet'!J168</f>
        <v>0</v>
      </c>
      <c r="G66" s="10">
        <v>0</v>
      </c>
      <c r="H66" s="10">
        <f t="shared" si="0"/>
        <v>0</v>
      </c>
      <c r="I66" s="10">
        <f t="shared" si="1"/>
        <v>0</v>
      </c>
      <c r="J66" s="10">
        <f>'Stavební rozpočet'!F168</f>
        <v>2.62</v>
      </c>
      <c r="K66" s="10">
        <v>0</v>
      </c>
      <c r="L66" s="31">
        <v>2.62</v>
      </c>
      <c r="M66" s="38" t="str">
        <f t="shared" si="2"/>
        <v>Nefakturováno</v>
      </c>
      <c r="N66" s="10">
        <f t="shared" si="3"/>
        <v>0</v>
      </c>
      <c r="O66" s="10">
        <f t="shared" si="4"/>
        <v>-100</v>
      </c>
      <c r="AE66" s="10">
        <v>0</v>
      </c>
    </row>
    <row r="67" spans="1:31" ht="12.75">
      <c r="A67" s="2" t="s">
        <v>51</v>
      </c>
      <c r="B67" s="2" t="s">
        <v>197</v>
      </c>
      <c r="C67" s="2" t="s">
        <v>243</v>
      </c>
      <c r="D67" s="87" t="s">
        <v>541</v>
      </c>
      <c r="E67" s="88"/>
      <c r="F67" s="10">
        <f>'Stavební rozpočet'!J170</f>
        <v>0</v>
      </c>
      <c r="G67" s="10">
        <v>0</v>
      </c>
      <c r="H67" s="10">
        <f t="shared" si="0"/>
        <v>0</v>
      </c>
      <c r="I67" s="10">
        <f t="shared" si="1"/>
        <v>0</v>
      </c>
      <c r="J67" s="10">
        <f>'Stavební rozpočet'!F170</f>
        <v>2.62</v>
      </c>
      <c r="K67" s="10">
        <v>0</v>
      </c>
      <c r="L67" s="31">
        <v>2.62</v>
      </c>
      <c r="M67" s="38" t="str">
        <f t="shared" si="2"/>
        <v>Nefakturováno</v>
      </c>
      <c r="N67" s="10">
        <f t="shared" si="3"/>
        <v>0</v>
      </c>
      <c r="O67" s="10">
        <f t="shared" si="4"/>
        <v>-100</v>
      </c>
      <c r="AE67" s="10">
        <v>0</v>
      </c>
    </row>
    <row r="68" spans="1:31" ht="12.75">
      <c r="A68" s="2" t="s">
        <v>52</v>
      </c>
      <c r="B68" s="2" t="s">
        <v>197</v>
      </c>
      <c r="C68" s="2" t="s">
        <v>244</v>
      </c>
      <c r="D68" s="87" t="s">
        <v>542</v>
      </c>
      <c r="E68" s="88"/>
      <c r="F68" s="10">
        <f>'Stavební rozpočet'!J171</f>
        <v>0</v>
      </c>
      <c r="G68" s="10">
        <v>0</v>
      </c>
      <c r="H68" s="10">
        <f t="shared" si="0"/>
        <v>0</v>
      </c>
      <c r="I68" s="10">
        <f t="shared" si="1"/>
        <v>0</v>
      </c>
      <c r="J68" s="10">
        <f>'Stavební rozpočet'!F171</f>
        <v>0.12</v>
      </c>
      <c r="K68" s="10">
        <v>0</v>
      </c>
      <c r="L68" s="31">
        <v>0.12</v>
      </c>
      <c r="M68" s="38" t="str">
        <f t="shared" si="2"/>
        <v>Nefakturováno</v>
      </c>
      <c r="N68" s="10">
        <f t="shared" si="3"/>
        <v>0</v>
      </c>
      <c r="O68" s="10">
        <f t="shared" si="4"/>
        <v>-100</v>
      </c>
      <c r="AE68" s="10">
        <v>0</v>
      </c>
    </row>
    <row r="69" spans="1:31" ht="12.75">
      <c r="A69" s="2" t="s">
        <v>53</v>
      </c>
      <c r="B69" s="2" t="s">
        <v>197</v>
      </c>
      <c r="C69" s="2" t="s">
        <v>245</v>
      </c>
      <c r="D69" s="87" t="s">
        <v>544</v>
      </c>
      <c r="E69" s="88"/>
      <c r="F69" s="10">
        <f>'Stavební rozpočet'!J173</f>
        <v>0</v>
      </c>
      <c r="G69" s="10">
        <v>0</v>
      </c>
      <c r="H69" s="10">
        <f t="shared" si="0"/>
        <v>0</v>
      </c>
      <c r="I69" s="10">
        <f t="shared" si="1"/>
        <v>0</v>
      </c>
      <c r="J69" s="10">
        <f>'Stavební rozpočet'!F173</f>
        <v>32.73</v>
      </c>
      <c r="K69" s="10">
        <v>0</v>
      </c>
      <c r="L69" s="31">
        <v>32.73</v>
      </c>
      <c r="M69" s="38" t="str">
        <f t="shared" si="2"/>
        <v>Nefakturováno</v>
      </c>
      <c r="N69" s="10">
        <f t="shared" si="3"/>
        <v>0</v>
      </c>
      <c r="O69" s="10">
        <f t="shared" si="4"/>
        <v>-100</v>
      </c>
      <c r="AE69" s="10">
        <v>0</v>
      </c>
    </row>
    <row r="70" spans="1:31" ht="12.75">
      <c r="A70" s="8"/>
      <c r="B70" s="8" t="s">
        <v>197</v>
      </c>
      <c r="C70" s="8" t="s">
        <v>70</v>
      </c>
      <c r="D70" s="85" t="s">
        <v>545</v>
      </c>
      <c r="E70" s="86"/>
      <c r="F70" s="22">
        <f>SUM(F71:F72)</f>
        <v>0</v>
      </c>
      <c r="G70" s="22">
        <f>SUM(G71:G72)</f>
        <v>0</v>
      </c>
      <c r="H70" s="22">
        <f t="shared" si="0"/>
        <v>0</v>
      </c>
      <c r="I70" s="22">
        <f t="shared" si="1"/>
        <v>0</v>
      </c>
      <c r="J70" s="22">
        <f>SUM(J71:J72)</f>
        <v>3.25</v>
      </c>
      <c r="K70" s="22">
        <f>SUM(K71:K72)</f>
        <v>0</v>
      </c>
      <c r="L70" s="35">
        <f>J70-K70</f>
        <v>3.25</v>
      </c>
      <c r="M70" s="37" t="str">
        <f t="shared" si="2"/>
        <v>Nefakturováno</v>
      </c>
      <c r="N70" s="22">
        <f t="shared" si="3"/>
        <v>0</v>
      </c>
      <c r="O70" s="22">
        <f t="shared" si="4"/>
        <v>-100</v>
      </c>
      <c r="AE70" s="10">
        <v>0</v>
      </c>
    </row>
    <row r="71" spans="1:31" ht="12.75">
      <c r="A71" s="2" t="s">
        <v>54</v>
      </c>
      <c r="B71" s="2" t="s">
        <v>197</v>
      </c>
      <c r="C71" s="2" t="s">
        <v>246</v>
      </c>
      <c r="D71" s="87" t="s">
        <v>546</v>
      </c>
      <c r="E71" s="88"/>
      <c r="F71" s="10">
        <f>'Stavební rozpočet'!J175</f>
        <v>0</v>
      </c>
      <c r="G71" s="10">
        <v>0</v>
      </c>
      <c r="H71" s="10">
        <f t="shared" si="0"/>
        <v>0</v>
      </c>
      <c r="I71" s="10">
        <f t="shared" si="1"/>
        <v>0</v>
      </c>
      <c r="J71" s="10">
        <f>'Stavební rozpočet'!F175</f>
        <v>2</v>
      </c>
      <c r="K71" s="10">
        <v>0</v>
      </c>
      <c r="L71" s="31">
        <v>2</v>
      </c>
      <c r="M71" s="38" t="str">
        <f t="shared" si="2"/>
        <v>Nefakturováno</v>
      </c>
      <c r="N71" s="10">
        <f t="shared" si="3"/>
        <v>0</v>
      </c>
      <c r="O71" s="10">
        <f t="shared" si="4"/>
        <v>-100</v>
      </c>
      <c r="AE71" s="10">
        <v>0</v>
      </c>
    </row>
    <row r="72" spans="1:31" ht="12.75">
      <c r="A72" s="2" t="s">
        <v>55</v>
      </c>
      <c r="B72" s="2" t="s">
        <v>197</v>
      </c>
      <c r="C72" s="2" t="s">
        <v>247</v>
      </c>
      <c r="D72" s="87" t="s">
        <v>547</v>
      </c>
      <c r="E72" s="88"/>
      <c r="F72" s="10">
        <f>'Stavební rozpočet'!J176</f>
        <v>0</v>
      </c>
      <c r="G72" s="10">
        <v>0</v>
      </c>
      <c r="H72" s="10">
        <f t="shared" si="0"/>
        <v>0</v>
      </c>
      <c r="I72" s="10">
        <f t="shared" si="1"/>
        <v>0</v>
      </c>
      <c r="J72" s="10">
        <f>'Stavební rozpočet'!F176</f>
        <v>1.25</v>
      </c>
      <c r="K72" s="10">
        <v>0</v>
      </c>
      <c r="L72" s="31">
        <v>1.25</v>
      </c>
      <c r="M72" s="38" t="str">
        <f t="shared" si="2"/>
        <v>Nefakturováno</v>
      </c>
      <c r="N72" s="10">
        <f t="shared" si="3"/>
        <v>0</v>
      </c>
      <c r="O72" s="10">
        <f t="shared" si="4"/>
        <v>-100</v>
      </c>
      <c r="AE72" s="10">
        <v>0</v>
      </c>
    </row>
    <row r="73" spans="1:31" ht="12.75">
      <c r="A73" s="8"/>
      <c r="B73" s="8" t="s">
        <v>197</v>
      </c>
      <c r="C73" s="8" t="s">
        <v>248</v>
      </c>
      <c r="D73" s="85" t="s">
        <v>549</v>
      </c>
      <c r="E73" s="86"/>
      <c r="F73" s="22">
        <f>SUM(F74:F83)</f>
        <v>0</v>
      </c>
      <c r="G73" s="22">
        <f>SUM(G74:G83)</f>
        <v>0</v>
      </c>
      <c r="H73" s="22">
        <f t="shared" si="0"/>
        <v>0</v>
      </c>
      <c r="I73" s="22">
        <f t="shared" si="1"/>
        <v>0</v>
      </c>
      <c r="J73" s="22">
        <f>SUM(J74:J83)</f>
        <v>125.65</v>
      </c>
      <c r="K73" s="22">
        <f>SUM(K74:K83)</f>
        <v>0</v>
      </c>
      <c r="L73" s="35">
        <f>J73-K73</f>
        <v>125.65</v>
      </c>
      <c r="M73" s="37" t="str">
        <f t="shared" si="2"/>
        <v>Nefakturováno</v>
      </c>
      <c r="N73" s="22">
        <f t="shared" si="3"/>
        <v>0</v>
      </c>
      <c r="O73" s="22">
        <f t="shared" si="4"/>
        <v>-100</v>
      </c>
      <c r="AE73" s="10">
        <v>0</v>
      </c>
    </row>
    <row r="74" spans="1:31" ht="12.75">
      <c r="A74" s="2" t="s">
        <v>56</v>
      </c>
      <c r="B74" s="2" t="s">
        <v>197</v>
      </c>
      <c r="C74" s="2" t="s">
        <v>249</v>
      </c>
      <c r="D74" s="87" t="s">
        <v>550</v>
      </c>
      <c r="E74" s="88"/>
      <c r="F74" s="10">
        <f>'Stavební rozpočet'!J179</f>
        <v>0</v>
      </c>
      <c r="G74" s="10">
        <v>0</v>
      </c>
      <c r="H74" s="10">
        <f t="shared" si="0"/>
        <v>0</v>
      </c>
      <c r="I74" s="10">
        <f t="shared" si="1"/>
        <v>0</v>
      </c>
      <c r="J74" s="10">
        <f>'Stavební rozpočet'!F179</f>
        <v>5.25</v>
      </c>
      <c r="K74" s="10">
        <v>0</v>
      </c>
      <c r="L74" s="31">
        <v>5.25</v>
      </c>
      <c r="M74" s="38" t="str">
        <f t="shared" si="2"/>
        <v>Nefakturováno</v>
      </c>
      <c r="N74" s="10">
        <f t="shared" si="3"/>
        <v>0</v>
      </c>
      <c r="O74" s="10">
        <f t="shared" si="4"/>
        <v>-100</v>
      </c>
      <c r="AE74" s="10">
        <v>0</v>
      </c>
    </row>
    <row r="75" spans="1:31" ht="12.75">
      <c r="A75" s="2" t="s">
        <v>57</v>
      </c>
      <c r="B75" s="2" t="s">
        <v>197</v>
      </c>
      <c r="C75" s="2" t="s">
        <v>250</v>
      </c>
      <c r="D75" s="87" t="s">
        <v>552</v>
      </c>
      <c r="E75" s="88"/>
      <c r="F75" s="10">
        <f>'Stavební rozpočet'!J181</f>
        <v>0</v>
      </c>
      <c r="G75" s="10">
        <v>0</v>
      </c>
      <c r="H75" s="10">
        <f aca="true" t="shared" si="5" ref="H75:H138">G75-F75</f>
        <v>0</v>
      </c>
      <c r="I75" s="10">
        <f aca="true" t="shared" si="6" ref="I75:I138">IF(F75=0,0,H75/F75*100)</f>
        <v>0</v>
      </c>
      <c r="J75" s="10">
        <f>'Stavební rozpočet'!F181</f>
        <v>8.42</v>
      </c>
      <c r="K75" s="10">
        <v>0</v>
      </c>
      <c r="L75" s="31">
        <v>8.42</v>
      </c>
      <c r="M75" s="38" t="str">
        <f aca="true" t="shared" si="7" ref="M75:M138">IF(G75=0,"Nefakturováno",AE75)</f>
        <v>Nefakturováno</v>
      </c>
      <c r="N75" s="10">
        <f aca="true" t="shared" si="8" ref="N75:N138">AE75-G75</f>
        <v>0</v>
      </c>
      <c r="O75" s="10">
        <f aca="true" t="shared" si="9" ref="O75:O138">IF(G75&lt;&gt;0,N75/G75*100,-100)</f>
        <v>-100</v>
      </c>
      <c r="AE75" s="10">
        <v>0</v>
      </c>
    </row>
    <row r="76" spans="1:31" ht="12.75">
      <c r="A76" s="2" t="s">
        <v>58</v>
      </c>
      <c r="B76" s="2" t="s">
        <v>197</v>
      </c>
      <c r="C76" s="2" t="s">
        <v>251</v>
      </c>
      <c r="D76" s="87" t="s">
        <v>554</v>
      </c>
      <c r="E76" s="88"/>
      <c r="F76" s="10">
        <f>'Stavební rozpočet'!J183</f>
        <v>0</v>
      </c>
      <c r="G76" s="10">
        <v>0</v>
      </c>
      <c r="H76" s="10">
        <f t="shared" si="5"/>
        <v>0</v>
      </c>
      <c r="I76" s="10">
        <f t="shared" si="6"/>
        <v>0</v>
      </c>
      <c r="J76" s="10">
        <f>'Stavební rozpočet'!F183</f>
        <v>40.4</v>
      </c>
      <c r="K76" s="10">
        <v>0</v>
      </c>
      <c r="L76" s="31">
        <v>40.4</v>
      </c>
      <c r="M76" s="38" t="str">
        <f t="shared" si="7"/>
        <v>Nefakturováno</v>
      </c>
      <c r="N76" s="10">
        <f t="shared" si="8"/>
        <v>0</v>
      </c>
      <c r="O76" s="10">
        <f t="shared" si="9"/>
        <v>-100</v>
      </c>
      <c r="AE76" s="10">
        <v>0</v>
      </c>
    </row>
    <row r="77" spans="1:31" ht="12.75">
      <c r="A77" s="2" t="s">
        <v>59</v>
      </c>
      <c r="B77" s="2" t="s">
        <v>197</v>
      </c>
      <c r="C77" s="2" t="s">
        <v>252</v>
      </c>
      <c r="D77" s="87" t="s">
        <v>556</v>
      </c>
      <c r="E77" s="88"/>
      <c r="F77" s="10">
        <f>'Stavební rozpočet'!J185</f>
        <v>0</v>
      </c>
      <c r="G77" s="10">
        <v>0</v>
      </c>
      <c r="H77" s="10">
        <f t="shared" si="5"/>
        <v>0</v>
      </c>
      <c r="I77" s="10">
        <f t="shared" si="6"/>
        <v>0</v>
      </c>
      <c r="J77" s="10">
        <f>'Stavební rozpočet'!F185</f>
        <v>8.42</v>
      </c>
      <c r="K77" s="10">
        <v>0</v>
      </c>
      <c r="L77" s="31">
        <v>8.42</v>
      </c>
      <c r="M77" s="38" t="str">
        <f t="shared" si="7"/>
        <v>Nefakturováno</v>
      </c>
      <c r="N77" s="10">
        <f t="shared" si="8"/>
        <v>0</v>
      </c>
      <c r="O77" s="10">
        <f t="shared" si="9"/>
        <v>-100</v>
      </c>
      <c r="AE77" s="10">
        <v>0</v>
      </c>
    </row>
    <row r="78" spans="1:31" ht="12.75">
      <c r="A78" s="2" t="s">
        <v>60</v>
      </c>
      <c r="B78" s="2" t="s">
        <v>197</v>
      </c>
      <c r="C78" s="2" t="s">
        <v>253</v>
      </c>
      <c r="D78" s="87" t="s">
        <v>557</v>
      </c>
      <c r="E78" s="88"/>
      <c r="F78" s="10">
        <f>'Stavební rozpočet'!J187</f>
        <v>0</v>
      </c>
      <c r="G78" s="10">
        <v>0</v>
      </c>
      <c r="H78" s="10">
        <f t="shared" si="5"/>
        <v>0</v>
      </c>
      <c r="I78" s="10">
        <f t="shared" si="6"/>
        <v>0</v>
      </c>
      <c r="J78" s="10">
        <f>'Stavební rozpočet'!F187</f>
        <v>40.4</v>
      </c>
      <c r="K78" s="10">
        <v>0</v>
      </c>
      <c r="L78" s="31">
        <v>40.4</v>
      </c>
      <c r="M78" s="38" t="str">
        <f t="shared" si="7"/>
        <v>Nefakturováno</v>
      </c>
      <c r="N78" s="10">
        <f t="shared" si="8"/>
        <v>0</v>
      </c>
      <c r="O78" s="10">
        <f t="shared" si="9"/>
        <v>-100</v>
      </c>
      <c r="AE78" s="10">
        <v>0</v>
      </c>
    </row>
    <row r="79" spans="1:31" ht="12.75">
      <c r="A79" s="2" t="s">
        <v>61</v>
      </c>
      <c r="B79" s="2" t="s">
        <v>197</v>
      </c>
      <c r="C79" s="2" t="s">
        <v>254</v>
      </c>
      <c r="D79" s="87" t="s">
        <v>559</v>
      </c>
      <c r="E79" s="88"/>
      <c r="F79" s="10">
        <f>'Stavební rozpočet'!J189</f>
        <v>0</v>
      </c>
      <c r="G79" s="10">
        <v>0</v>
      </c>
      <c r="H79" s="10">
        <f t="shared" si="5"/>
        <v>0</v>
      </c>
      <c r="I79" s="10">
        <f t="shared" si="6"/>
        <v>0</v>
      </c>
      <c r="J79" s="10">
        <f>'Stavební rozpočet'!F189</f>
        <v>8.42</v>
      </c>
      <c r="K79" s="10">
        <v>0</v>
      </c>
      <c r="L79" s="31">
        <v>8.42</v>
      </c>
      <c r="M79" s="38" t="str">
        <f t="shared" si="7"/>
        <v>Nefakturováno</v>
      </c>
      <c r="N79" s="10">
        <f t="shared" si="8"/>
        <v>0</v>
      </c>
      <c r="O79" s="10">
        <f t="shared" si="9"/>
        <v>-100</v>
      </c>
      <c r="AE79" s="10">
        <v>0</v>
      </c>
    </row>
    <row r="80" spans="1:31" ht="12.75">
      <c r="A80" s="2" t="s">
        <v>62</v>
      </c>
      <c r="B80" s="2" t="s">
        <v>197</v>
      </c>
      <c r="C80" s="2" t="s">
        <v>255</v>
      </c>
      <c r="D80" s="87" t="s">
        <v>561</v>
      </c>
      <c r="E80" s="88"/>
      <c r="F80" s="10">
        <f>'Stavební rozpočet'!J191</f>
        <v>0</v>
      </c>
      <c r="G80" s="10">
        <v>0</v>
      </c>
      <c r="H80" s="10">
        <f t="shared" si="5"/>
        <v>0</v>
      </c>
      <c r="I80" s="10">
        <f t="shared" si="6"/>
        <v>0</v>
      </c>
      <c r="J80" s="10">
        <f>'Stavební rozpočet'!F191</f>
        <v>5</v>
      </c>
      <c r="K80" s="10">
        <v>0</v>
      </c>
      <c r="L80" s="31">
        <v>5</v>
      </c>
      <c r="M80" s="38" t="str">
        <f t="shared" si="7"/>
        <v>Nefakturováno</v>
      </c>
      <c r="N80" s="10">
        <f t="shared" si="8"/>
        <v>0</v>
      </c>
      <c r="O80" s="10">
        <f t="shared" si="9"/>
        <v>-100</v>
      </c>
      <c r="AE80" s="10">
        <v>0</v>
      </c>
    </row>
    <row r="81" spans="1:31" ht="12.75">
      <c r="A81" s="2" t="s">
        <v>63</v>
      </c>
      <c r="B81" s="2" t="s">
        <v>197</v>
      </c>
      <c r="C81" s="2" t="s">
        <v>256</v>
      </c>
      <c r="D81" s="87" t="s">
        <v>564</v>
      </c>
      <c r="E81" s="88"/>
      <c r="F81" s="10">
        <f>'Stavební rozpočet'!J194</f>
        <v>0</v>
      </c>
      <c r="G81" s="10">
        <v>0</v>
      </c>
      <c r="H81" s="10">
        <f t="shared" si="5"/>
        <v>0</v>
      </c>
      <c r="I81" s="10">
        <f t="shared" si="6"/>
        <v>0</v>
      </c>
      <c r="J81" s="10">
        <f>'Stavební rozpočet'!F194</f>
        <v>5</v>
      </c>
      <c r="K81" s="10">
        <v>0</v>
      </c>
      <c r="L81" s="31">
        <v>5</v>
      </c>
      <c r="M81" s="38" t="str">
        <f t="shared" si="7"/>
        <v>Nefakturováno</v>
      </c>
      <c r="N81" s="10">
        <f t="shared" si="8"/>
        <v>0</v>
      </c>
      <c r="O81" s="10">
        <f t="shared" si="9"/>
        <v>-100</v>
      </c>
      <c r="AE81" s="10">
        <v>0</v>
      </c>
    </row>
    <row r="82" spans="1:31" ht="12.75">
      <c r="A82" s="2" t="s">
        <v>64</v>
      </c>
      <c r="B82" s="2" t="s">
        <v>197</v>
      </c>
      <c r="C82" s="2" t="s">
        <v>257</v>
      </c>
      <c r="D82" s="87" t="s">
        <v>565</v>
      </c>
      <c r="E82" s="88"/>
      <c r="F82" s="10">
        <f>'Stavební rozpočet'!J195</f>
        <v>0</v>
      </c>
      <c r="G82" s="10">
        <v>0</v>
      </c>
      <c r="H82" s="10">
        <f t="shared" si="5"/>
        <v>0</v>
      </c>
      <c r="I82" s="10">
        <f t="shared" si="6"/>
        <v>0</v>
      </c>
      <c r="J82" s="10">
        <f>'Stavební rozpočet'!F195</f>
        <v>4</v>
      </c>
      <c r="K82" s="10">
        <v>0</v>
      </c>
      <c r="L82" s="31">
        <v>4</v>
      </c>
      <c r="M82" s="38" t="str">
        <f t="shared" si="7"/>
        <v>Nefakturováno</v>
      </c>
      <c r="N82" s="10">
        <f t="shared" si="8"/>
        <v>0</v>
      </c>
      <c r="O82" s="10">
        <f t="shared" si="9"/>
        <v>-100</v>
      </c>
      <c r="AE82" s="10">
        <v>0</v>
      </c>
    </row>
    <row r="83" spans="1:31" ht="12.75">
      <c r="A83" s="2" t="s">
        <v>65</v>
      </c>
      <c r="B83" s="2" t="s">
        <v>197</v>
      </c>
      <c r="C83" s="2" t="s">
        <v>258</v>
      </c>
      <c r="D83" s="87" t="s">
        <v>567</v>
      </c>
      <c r="E83" s="88"/>
      <c r="F83" s="10">
        <f>'Stavební rozpočet'!J198</f>
        <v>0</v>
      </c>
      <c r="G83" s="10">
        <v>0</v>
      </c>
      <c r="H83" s="10">
        <f t="shared" si="5"/>
        <v>0</v>
      </c>
      <c r="I83" s="10">
        <f t="shared" si="6"/>
        <v>0</v>
      </c>
      <c r="J83" s="10">
        <f>'Stavební rozpočet'!F198</f>
        <v>0.34</v>
      </c>
      <c r="K83" s="10">
        <v>0</v>
      </c>
      <c r="L83" s="31">
        <v>0.33898</v>
      </c>
      <c r="M83" s="38" t="str">
        <f t="shared" si="7"/>
        <v>Nefakturováno</v>
      </c>
      <c r="N83" s="10">
        <f t="shared" si="8"/>
        <v>0</v>
      </c>
      <c r="O83" s="10">
        <f t="shared" si="9"/>
        <v>-100</v>
      </c>
      <c r="AE83" s="10">
        <v>0</v>
      </c>
    </row>
    <row r="84" spans="1:31" ht="12.75">
      <c r="A84" s="8"/>
      <c r="B84" s="8" t="s">
        <v>197</v>
      </c>
      <c r="C84" s="8" t="s">
        <v>259</v>
      </c>
      <c r="D84" s="85" t="s">
        <v>568</v>
      </c>
      <c r="E84" s="86"/>
      <c r="F84" s="22">
        <f>SUM(F85:F86)</f>
        <v>0</v>
      </c>
      <c r="G84" s="22">
        <f>SUM(G85:G86)</f>
        <v>0</v>
      </c>
      <c r="H84" s="22">
        <f t="shared" si="5"/>
        <v>0</v>
      </c>
      <c r="I84" s="22">
        <f t="shared" si="6"/>
        <v>0</v>
      </c>
      <c r="J84" s="22">
        <f>SUM(J85:J86)</f>
        <v>52.980000000000004</v>
      </c>
      <c r="K84" s="22">
        <f>SUM(K85:K86)</f>
        <v>0</v>
      </c>
      <c r="L84" s="35">
        <f>J84-K84</f>
        <v>52.980000000000004</v>
      </c>
      <c r="M84" s="37" t="str">
        <f t="shared" si="7"/>
        <v>Nefakturováno</v>
      </c>
      <c r="N84" s="22">
        <f t="shared" si="8"/>
        <v>0</v>
      </c>
      <c r="O84" s="22">
        <f t="shared" si="9"/>
        <v>-100</v>
      </c>
      <c r="AE84" s="10">
        <v>0</v>
      </c>
    </row>
    <row r="85" spans="1:31" ht="12.75">
      <c r="A85" s="2" t="s">
        <v>66</v>
      </c>
      <c r="B85" s="2" t="s">
        <v>197</v>
      </c>
      <c r="C85" s="2" t="s">
        <v>260</v>
      </c>
      <c r="D85" s="87" t="s">
        <v>569</v>
      </c>
      <c r="E85" s="88"/>
      <c r="F85" s="10">
        <f>'Stavební rozpočet'!J200</f>
        <v>0</v>
      </c>
      <c r="G85" s="10">
        <v>0</v>
      </c>
      <c r="H85" s="10">
        <f t="shared" si="5"/>
        <v>0</v>
      </c>
      <c r="I85" s="10">
        <f t="shared" si="6"/>
        <v>0</v>
      </c>
      <c r="J85" s="10">
        <f>'Stavební rozpočet'!F200</f>
        <v>52.42</v>
      </c>
      <c r="K85" s="10">
        <v>0</v>
      </c>
      <c r="L85" s="31">
        <v>52.42</v>
      </c>
      <c r="M85" s="38" t="str">
        <f t="shared" si="7"/>
        <v>Nefakturováno</v>
      </c>
      <c r="N85" s="10">
        <f t="shared" si="8"/>
        <v>0</v>
      </c>
      <c r="O85" s="10">
        <f t="shared" si="9"/>
        <v>-100</v>
      </c>
      <c r="AE85" s="10">
        <v>0</v>
      </c>
    </row>
    <row r="86" spans="1:31" ht="12.75">
      <c r="A86" s="2" t="s">
        <v>67</v>
      </c>
      <c r="B86" s="2" t="s">
        <v>197</v>
      </c>
      <c r="C86" s="2" t="s">
        <v>261</v>
      </c>
      <c r="D86" s="87" t="s">
        <v>571</v>
      </c>
      <c r="E86" s="88"/>
      <c r="F86" s="10">
        <f>'Stavební rozpočet'!J202</f>
        <v>0</v>
      </c>
      <c r="G86" s="10">
        <v>0</v>
      </c>
      <c r="H86" s="10">
        <f t="shared" si="5"/>
        <v>0</v>
      </c>
      <c r="I86" s="10">
        <f t="shared" si="6"/>
        <v>0</v>
      </c>
      <c r="J86" s="10">
        <f>'Stavební rozpočet'!F202</f>
        <v>0.56</v>
      </c>
      <c r="K86" s="10">
        <v>0</v>
      </c>
      <c r="L86" s="31">
        <v>0.56142</v>
      </c>
      <c r="M86" s="38" t="str">
        <f t="shared" si="7"/>
        <v>Nefakturováno</v>
      </c>
      <c r="N86" s="10">
        <f t="shared" si="8"/>
        <v>0</v>
      </c>
      <c r="O86" s="10">
        <f t="shared" si="9"/>
        <v>-100</v>
      </c>
      <c r="AE86" s="10">
        <v>0</v>
      </c>
    </row>
    <row r="87" spans="1:31" ht="12.75">
      <c r="A87" s="8"/>
      <c r="B87" s="8" t="s">
        <v>197</v>
      </c>
      <c r="C87" s="8" t="s">
        <v>262</v>
      </c>
      <c r="D87" s="85" t="s">
        <v>572</v>
      </c>
      <c r="E87" s="86"/>
      <c r="F87" s="22">
        <f>SUM(F88:F91)</f>
        <v>0</v>
      </c>
      <c r="G87" s="22">
        <f>SUM(G88:G91)</f>
        <v>0</v>
      </c>
      <c r="H87" s="22">
        <f t="shared" si="5"/>
        <v>0</v>
      </c>
      <c r="I87" s="22">
        <f t="shared" si="6"/>
        <v>0</v>
      </c>
      <c r="J87" s="22">
        <f>SUM(J88:J91)</f>
        <v>104.71</v>
      </c>
      <c r="K87" s="22">
        <f>SUM(K88:K91)</f>
        <v>0</v>
      </c>
      <c r="L87" s="35">
        <f>J87-K87</f>
        <v>104.71</v>
      </c>
      <c r="M87" s="37" t="str">
        <f t="shared" si="7"/>
        <v>Nefakturováno</v>
      </c>
      <c r="N87" s="22">
        <f t="shared" si="8"/>
        <v>0</v>
      </c>
      <c r="O87" s="22">
        <f t="shared" si="9"/>
        <v>-100</v>
      </c>
      <c r="AE87" s="10">
        <v>0</v>
      </c>
    </row>
    <row r="88" spans="1:31" ht="12.75">
      <c r="A88" s="2" t="s">
        <v>68</v>
      </c>
      <c r="B88" s="2" t="s">
        <v>197</v>
      </c>
      <c r="C88" s="2" t="s">
        <v>263</v>
      </c>
      <c r="D88" s="87" t="s">
        <v>573</v>
      </c>
      <c r="E88" s="88"/>
      <c r="F88" s="10">
        <f>'Stavební rozpočet'!J204</f>
        <v>0</v>
      </c>
      <c r="G88" s="10">
        <v>0</v>
      </c>
      <c r="H88" s="10">
        <f t="shared" si="5"/>
        <v>0</v>
      </c>
      <c r="I88" s="10">
        <f t="shared" si="6"/>
        <v>0</v>
      </c>
      <c r="J88" s="10">
        <f>'Stavební rozpočet'!F204</f>
        <v>34.13</v>
      </c>
      <c r="K88" s="10">
        <v>0</v>
      </c>
      <c r="L88" s="31">
        <v>34.13</v>
      </c>
      <c r="M88" s="38" t="str">
        <f t="shared" si="7"/>
        <v>Nefakturováno</v>
      </c>
      <c r="N88" s="10">
        <f t="shared" si="8"/>
        <v>0</v>
      </c>
      <c r="O88" s="10">
        <f t="shared" si="9"/>
        <v>-100</v>
      </c>
      <c r="AE88" s="10">
        <v>0</v>
      </c>
    </row>
    <row r="89" spans="1:31" ht="12.75">
      <c r="A89" s="2" t="s">
        <v>69</v>
      </c>
      <c r="B89" s="2" t="s">
        <v>197</v>
      </c>
      <c r="C89" s="2" t="s">
        <v>264</v>
      </c>
      <c r="D89" s="87" t="s">
        <v>575</v>
      </c>
      <c r="E89" s="88"/>
      <c r="F89" s="10">
        <f>'Stavební rozpočet'!J206</f>
        <v>0</v>
      </c>
      <c r="G89" s="10">
        <v>0</v>
      </c>
      <c r="H89" s="10">
        <f t="shared" si="5"/>
        <v>0</v>
      </c>
      <c r="I89" s="10">
        <f t="shared" si="6"/>
        <v>0</v>
      </c>
      <c r="J89" s="10">
        <f>'Stavební rozpočet'!F206</f>
        <v>34.13</v>
      </c>
      <c r="K89" s="10">
        <v>0</v>
      </c>
      <c r="L89" s="31">
        <v>34.13</v>
      </c>
      <c r="M89" s="38" t="str">
        <f t="shared" si="7"/>
        <v>Nefakturováno</v>
      </c>
      <c r="N89" s="10">
        <f t="shared" si="8"/>
        <v>0</v>
      </c>
      <c r="O89" s="10">
        <f t="shared" si="9"/>
        <v>-100</v>
      </c>
      <c r="AE89" s="10">
        <v>0</v>
      </c>
    </row>
    <row r="90" spans="1:31" ht="12.75">
      <c r="A90" s="3" t="s">
        <v>70</v>
      </c>
      <c r="B90" s="3" t="s">
        <v>197</v>
      </c>
      <c r="C90" s="3" t="s">
        <v>265</v>
      </c>
      <c r="D90" s="89" t="s">
        <v>576</v>
      </c>
      <c r="E90" s="90"/>
      <c r="F90" s="11">
        <f>'Stavební rozpočet'!J207</f>
        <v>0</v>
      </c>
      <c r="G90" s="11">
        <v>0</v>
      </c>
      <c r="H90" s="11">
        <f t="shared" si="5"/>
        <v>0</v>
      </c>
      <c r="I90" s="11">
        <f t="shared" si="6"/>
        <v>0</v>
      </c>
      <c r="J90" s="11">
        <f>'Stavební rozpočet'!F207</f>
        <v>36.18</v>
      </c>
      <c r="K90" s="11">
        <v>0</v>
      </c>
      <c r="L90" s="32">
        <v>36.18</v>
      </c>
      <c r="M90" s="39" t="str">
        <f t="shared" si="7"/>
        <v>Nefakturováno</v>
      </c>
      <c r="N90" s="11">
        <f t="shared" si="8"/>
        <v>0</v>
      </c>
      <c r="O90" s="11">
        <f t="shared" si="9"/>
        <v>-100</v>
      </c>
      <c r="AE90" s="11">
        <v>0</v>
      </c>
    </row>
    <row r="91" spans="1:31" ht="12.75">
      <c r="A91" s="2" t="s">
        <v>71</v>
      </c>
      <c r="B91" s="2" t="s">
        <v>197</v>
      </c>
      <c r="C91" s="2" t="s">
        <v>266</v>
      </c>
      <c r="D91" s="87" t="s">
        <v>578</v>
      </c>
      <c r="E91" s="88"/>
      <c r="F91" s="10">
        <f>'Stavební rozpočet'!J209</f>
        <v>0</v>
      </c>
      <c r="G91" s="10">
        <v>0</v>
      </c>
      <c r="H91" s="10">
        <f t="shared" si="5"/>
        <v>0</v>
      </c>
      <c r="I91" s="10">
        <f t="shared" si="6"/>
        <v>0</v>
      </c>
      <c r="J91" s="10">
        <f>'Stavební rozpočet'!F209</f>
        <v>0.27</v>
      </c>
      <c r="K91" s="10">
        <v>0</v>
      </c>
      <c r="L91" s="31">
        <v>0.26698</v>
      </c>
      <c r="M91" s="38" t="str">
        <f t="shared" si="7"/>
        <v>Nefakturováno</v>
      </c>
      <c r="N91" s="10">
        <f t="shared" si="8"/>
        <v>0</v>
      </c>
      <c r="O91" s="10">
        <f t="shared" si="9"/>
        <v>-100</v>
      </c>
      <c r="AE91" s="10">
        <v>0</v>
      </c>
    </row>
    <row r="92" spans="1:31" ht="12.75">
      <c r="A92" s="8"/>
      <c r="B92" s="8" t="s">
        <v>197</v>
      </c>
      <c r="C92" s="8" t="s">
        <v>267</v>
      </c>
      <c r="D92" s="85" t="s">
        <v>579</v>
      </c>
      <c r="E92" s="86"/>
      <c r="F92" s="22">
        <f>SUM(F93:F105)</f>
        <v>0</v>
      </c>
      <c r="G92" s="22">
        <f>SUM(G93:G105)</f>
        <v>0</v>
      </c>
      <c r="H92" s="22">
        <f t="shared" si="5"/>
        <v>0</v>
      </c>
      <c r="I92" s="22">
        <f t="shared" si="6"/>
        <v>0</v>
      </c>
      <c r="J92" s="22">
        <f>SUM(J93:J105)</f>
        <v>46.44</v>
      </c>
      <c r="K92" s="22">
        <f>SUM(K93:K105)</f>
        <v>0</v>
      </c>
      <c r="L92" s="35">
        <f>J92-K92</f>
        <v>46.44</v>
      </c>
      <c r="M92" s="37" t="str">
        <f t="shared" si="7"/>
        <v>Nefakturováno</v>
      </c>
      <c r="N92" s="22">
        <f t="shared" si="8"/>
        <v>0</v>
      </c>
      <c r="O92" s="22">
        <f t="shared" si="9"/>
        <v>-100</v>
      </c>
      <c r="AE92" s="10">
        <v>0</v>
      </c>
    </row>
    <row r="93" spans="1:31" ht="12.75">
      <c r="A93" s="2" t="s">
        <v>72</v>
      </c>
      <c r="B93" s="2" t="s">
        <v>197</v>
      </c>
      <c r="C93" s="2" t="s">
        <v>268</v>
      </c>
      <c r="D93" s="87" t="s">
        <v>580</v>
      </c>
      <c r="E93" s="88"/>
      <c r="F93" s="10">
        <f>'Stavební rozpočet'!J211</f>
        <v>0</v>
      </c>
      <c r="G93" s="10">
        <v>0</v>
      </c>
      <c r="H93" s="10">
        <f t="shared" si="5"/>
        <v>0</v>
      </c>
      <c r="I93" s="10">
        <f t="shared" si="6"/>
        <v>0</v>
      </c>
      <c r="J93" s="10">
        <f>'Stavební rozpočet'!F211</f>
        <v>6.2</v>
      </c>
      <c r="K93" s="10">
        <v>0</v>
      </c>
      <c r="L93" s="31">
        <v>6.2</v>
      </c>
      <c r="M93" s="38" t="str">
        <f t="shared" si="7"/>
        <v>Nefakturováno</v>
      </c>
      <c r="N93" s="10">
        <f t="shared" si="8"/>
        <v>0</v>
      </c>
      <c r="O93" s="10">
        <f t="shared" si="9"/>
        <v>-100</v>
      </c>
      <c r="AE93" s="10">
        <v>0</v>
      </c>
    </row>
    <row r="94" spans="1:31" ht="12.75">
      <c r="A94" s="2" t="s">
        <v>73</v>
      </c>
      <c r="B94" s="2" t="s">
        <v>197</v>
      </c>
      <c r="C94" s="2" t="s">
        <v>216</v>
      </c>
      <c r="D94" s="87" t="s">
        <v>449</v>
      </c>
      <c r="E94" s="88"/>
      <c r="F94" s="10">
        <f>'Stavební rozpočet'!J213</f>
        <v>0</v>
      </c>
      <c r="G94" s="10">
        <v>0</v>
      </c>
      <c r="H94" s="10">
        <f t="shared" si="5"/>
        <v>0</v>
      </c>
      <c r="I94" s="10">
        <f t="shared" si="6"/>
        <v>0</v>
      </c>
      <c r="J94" s="10">
        <f>'Stavební rozpočet'!F213</f>
        <v>2.8</v>
      </c>
      <c r="K94" s="10">
        <v>0</v>
      </c>
      <c r="L94" s="31">
        <v>2.8</v>
      </c>
      <c r="M94" s="38" t="str">
        <f t="shared" si="7"/>
        <v>Nefakturováno</v>
      </c>
      <c r="N94" s="10">
        <f t="shared" si="8"/>
        <v>0</v>
      </c>
      <c r="O94" s="10">
        <f t="shared" si="9"/>
        <v>-100</v>
      </c>
      <c r="AE94" s="10">
        <v>0</v>
      </c>
    </row>
    <row r="95" spans="1:31" ht="12.75">
      <c r="A95" s="2" t="s">
        <v>74</v>
      </c>
      <c r="B95" s="2" t="s">
        <v>197</v>
      </c>
      <c r="C95" s="2" t="s">
        <v>269</v>
      </c>
      <c r="D95" s="87" t="s">
        <v>583</v>
      </c>
      <c r="E95" s="88"/>
      <c r="F95" s="10">
        <f>'Stavební rozpočet'!J215</f>
        <v>0</v>
      </c>
      <c r="G95" s="10">
        <v>0</v>
      </c>
      <c r="H95" s="10">
        <f t="shared" si="5"/>
        <v>0</v>
      </c>
      <c r="I95" s="10">
        <f t="shared" si="6"/>
        <v>0</v>
      </c>
      <c r="J95" s="10">
        <f>'Stavební rozpočet'!F215</f>
        <v>19.2</v>
      </c>
      <c r="K95" s="10">
        <v>0</v>
      </c>
      <c r="L95" s="31">
        <v>19.2</v>
      </c>
      <c r="M95" s="38" t="str">
        <f t="shared" si="7"/>
        <v>Nefakturováno</v>
      </c>
      <c r="N95" s="10">
        <f t="shared" si="8"/>
        <v>0</v>
      </c>
      <c r="O95" s="10">
        <f t="shared" si="9"/>
        <v>-100</v>
      </c>
      <c r="AE95" s="10">
        <v>0</v>
      </c>
    </row>
    <row r="96" spans="1:31" ht="12.75">
      <c r="A96" s="2" t="s">
        <v>75</v>
      </c>
      <c r="B96" s="2" t="s">
        <v>197</v>
      </c>
      <c r="C96" s="2" t="s">
        <v>270</v>
      </c>
      <c r="D96" s="87" t="s">
        <v>586</v>
      </c>
      <c r="E96" s="88"/>
      <c r="F96" s="10">
        <f>'Stavební rozpočet'!J220</f>
        <v>0</v>
      </c>
      <c r="G96" s="10">
        <v>0</v>
      </c>
      <c r="H96" s="10">
        <f t="shared" si="5"/>
        <v>0</v>
      </c>
      <c r="I96" s="10">
        <f t="shared" si="6"/>
        <v>0</v>
      </c>
      <c r="J96" s="10">
        <f>'Stavební rozpočet'!F220</f>
        <v>3.2</v>
      </c>
      <c r="K96" s="10">
        <v>0</v>
      </c>
      <c r="L96" s="31">
        <v>3.2</v>
      </c>
      <c r="M96" s="38" t="str">
        <f t="shared" si="7"/>
        <v>Nefakturováno</v>
      </c>
      <c r="N96" s="10">
        <f t="shared" si="8"/>
        <v>0</v>
      </c>
      <c r="O96" s="10">
        <f t="shared" si="9"/>
        <v>-100</v>
      </c>
      <c r="AE96" s="10">
        <v>0</v>
      </c>
    </row>
    <row r="97" spans="1:31" ht="12.75">
      <c r="A97" s="2" t="s">
        <v>76</v>
      </c>
      <c r="B97" s="2" t="s">
        <v>197</v>
      </c>
      <c r="C97" s="2" t="s">
        <v>271</v>
      </c>
      <c r="D97" s="87" t="s">
        <v>588</v>
      </c>
      <c r="E97" s="88"/>
      <c r="F97" s="10">
        <f>'Stavební rozpočet'!J222</f>
        <v>0</v>
      </c>
      <c r="G97" s="10">
        <v>0</v>
      </c>
      <c r="H97" s="10">
        <f t="shared" si="5"/>
        <v>0</v>
      </c>
      <c r="I97" s="10">
        <f t="shared" si="6"/>
        <v>0</v>
      </c>
      <c r="J97" s="10">
        <f>'Stavební rozpočet'!F222</f>
        <v>5</v>
      </c>
      <c r="K97" s="10">
        <v>0</v>
      </c>
      <c r="L97" s="31">
        <v>5</v>
      </c>
      <c r="M97" s="38" t="str">
        <f t="shared" si="7"/>
        <v>Nefakturováno</v>
      </c>
      <c r="N97" s="10">
        <f t="shared" si="8"/>
        <v>0</v>
      </c>
      <c r="O97" s="10">
        <f t="shared" si="9"/>
        <v>-100</v>
      </c>
      <c r="AE97" s="10">
        <v>0</v>
      </c>
    </row>
    <row r="98" spans="1:31" ht="12.75">
      <c r="A98" s="2" t="s">
        <v>77</v>
      </c>
      <c r="B98" s="2" t="s">
        <v>197</v>
      </c>
      <c r="C98" s="2" t="s">
        <v>272</v>
      </c>
      <c r="D98" s="87" t="s">
        <v>589</v>
      </c>
      <c r="E98" s="88"/>
      <c r="F98" s="10">
        <f>'Stavební rozpočet'!J223</f>
        <v>0</v>
      </c>
      <c r="G98" s="10">
        <v>0</v>
      </c>
      <c r="H98" s="10">
        <f t="shared" si="5"/>
        <v>0</v>
      </c>
      <c r="I98" s="10">
        <f t="shared" si="6"/>
        <v>0</v>
      </c>
      <c r="J98" s="10">
        <f>'Stavební rozpočet'!F223</f>
        <v>1</v>
      </c>
      <c r="K98" s="10">
        <v>0</v>
      </c>
      <c r="L98" s="31">
        <v>1</v>
      </c>
      <c r="M98" s="38" t="str">
        <f t="shared" si="7"/>
        <v>Nefakturováno</v>
      </c>
      <c r="N98" s="10">
        <f t="shared" si="8"/>
        <v>0</v>
      </c>
      <c r="O98" s="10">
        <f t="shared" si="9"/>
        <v>-100</v>
      </c>
      <c r="AE98" s="10">
        <v>0</v>
      </c>
    </row>
    <row r="99" spans="1:31" ht="12.75">
      <c r="A99" s="2" t="s">
        <v>78</v>
      </c>
      <c r="B99" s="2" t="s">
        <v>197</v>
      </c>
      <c r="C99" s="2" t="s">
        <v>273</v>
      </c>
      <c r="D99" s="87" t="s">
        <v>590</v>
      </c>
      <c r="E99" s="88"/>
      <c r="F99" s="10">
        <f>'Stavební rozpočet'!J224</f>
        <v>0</v>
      </c>
      <c r="G99" s="10">
        <v>0</v>
      </c>
      <c r="H99" s="10">
        <f t="shared" si="5"/>
        <v>0</v>
      </c>
      <c r="I99" s="10">
        <f t="shared" si="6"/>
        <v>0</v>
      </c>
      <c r="J99" s="10">
        <f>'Stavební rozpočet'!F224</f>
        <v>1</v>
      </c>
      <c r="K99" s="10">
        <v>0</v>
      </c>
      <c r="L99" s="31">
        <v>1</v>
      </c>
      <c r="M99" s="38" t="str">
        <f t="shared" si="7"/>
        <v>Nefakturováno</v>
      </c>
      <c r="N99" s="10">
        <f t="shared" si="8"/>
        <v>0</v>
      </c>
      <c r="O99" s="10">
        <f t="shared" si="9"/>
        <v>-100</v>
      </c>
      <c r="AE99" s="10">
        <v>0</v>
      </c>
    </row>
    <row r="100" spans="1:31" ht="12.75">
      <c r="A100" s="2" t="s">
        <v>79</v>
      </c>
      <c r="B100" s="2" t="s">
        <v>197</v>
      </c>
      <c r="C100" s="2" t="s">
        <v>274</v>
      </c>
      <c r="D100" s="87" t="s">
        <v>591</v>
      </c>
      <c r="E100" s="88"/>
      <c r="F100" s="10">
        <f>'Stavební rozpočet'!J225</f>
        <v>0</v>
      </c>
      <c r="G100" s="10">
        <v>0</v>
      </c>
      <c r="H100" s="10">
        <f t="shared" si="5"/>
        <v>0</v>
      </c>
      <c r="I100" s="10">
        <f t="shared" si="6"/>
        <v>0</v>
      </c>
      <c r="J100" s="10">
        <f>'Stavební rozpočet'!F225</f>
        <v>2</v>
      </c>
      <c r="K100" s="10">
        <v>0</v>
      </c>
      <c r="L100" s="31">
        <v>2</v>
      </c>
      <c r="M100" s="38" t="str">
        <f t="shared" si="7"/>
        <v>Nefakturováno</v>
      </c>
      <c r="N100" s="10">
        <f t="shared" si="8"/>
        <v>0</v>
      </c>
      <c r="O100" s="10">
        <f t="shared" si="9"/>
        <v>-100</v>
      </c>
      <c r="AE100" s="10">
        <v>0</v>
      </c>
    </row>
    <row r="101" spans="1:31" ht="12.75">
      <c r="A101" s="2" t="s">
        <v>80</v>
      </c>
      <c r="B101" s="2" t="s">
        <v>197</v>
      </c>
      <c r="C101" s="2" t="s">
        <v>275</v>
      </c>
      <c r="D101" s="87" t="s">
        <v>592</v>
      </c>
      <c r="E101" s="88"/>
      <c r="F101" s="10">
        <f>'Stavební rozpočet'!J226</f>
        <v>0</v>
      </c>
      <c r="G101" s="10">
        <v>0</v>
      </c>
      <c r="H101" s="10">
        <f t="shared" si="5"/>
        <v>0</v>
      </c>
      <c r="I101" s="10">
        <f t="shared" si="6"/>
        <v>0</v>
      </c>
      <c r="J101" s="10">
        <f>'Stavební rozpočet'!F226</f>
        <v>1</v>
      </c>
      <c r="K101" s="10">
        <v>0</v>
      </c>
      <c r="L101" s="31">
        <v>1</v>
      </c>
      <c r="M101" s="38" t="str">
        <f t="shared" si="7"/>
        <v>Nefakturováno</v>
      </c>
      <c r="N101" s="10">
        <f t="shared" si="8"/>
        <v>0</v>
      </c>
      <c r="O101" s="10">
        <f t="shared" si="9"/>
        <v>-100</v>
      </c>
      <c r="AE101" s="10">
        <v>0</v>
      </c>
    </row>
    <row r="102" spans="1:31" ht="12.75">
      <c r="A102" s="2" t="s">
        <v>81</v>
      </c>
      <c r="B102" s="2" t="s">
        <v>197</v>
      </c>
      <c r="C102" s="2" t="s">
        <v>276</v>
      </c>
      <c r="D102" s="87" t="s">
        <v>593</v>
      </c>
      <c r="E102" s="88"/>
      <c r="F102" s="10">
        <f>'Stavební rozpočet'!J227</f>
        <v>0</v>
      </c>
      <c r="G102" s="10">
        <v>0</v>
      </c>
      <c r="H102" s="10">
        <f t="shared" si="5"/>
        <v>0</v>
      </c>
      <c r="I102" s="10">
        <f t="shared" si="6"/>
        <v>0</v>
      </c>
      <c r="J102" s="10">
        <f>'Stavební rozpočet'!F227</f>
        <v>1</v>
      </c>
      <c r="K102" s="10">
        <v>0</v>
      </c>
      <c r="L102" s="31">
        <v>1</v>
      </c>
      <c r="M102" s="38" t="str">
        <f t="shared" si="7"/>
        <v>Nefakturováno</v>
      </c>
      <c r="N102" s="10">
        <f t="shared" si="8"/>
        <v>0</v>
      </c>
      <c r="O102" s="10">
        <f t="shared" si="9"/>
        <v>-100</v>
      </c>
      <c r="AE102" s="10">
        <v>0</v>
      </c>
    </row>
    <row r="103" spans="1:31" ht="12.75">
      <c r="A103" s="2" t="s">
        <v>82</v>
      </c>
      <c r="B103" s="2" t="s">
        <v>197</v>
      </c>
      <c r="C103" s="2" t="s">
        <v>277</v>
      </c>
      <c r="D103" s="87" t="s">
        <v>594</v>
      </c>
      <c r="E103" s="88"/>
      <c r="F103" s="10">
        <f>'Stavební rozpočet'!J228</f>
        <v>0</v>
      </c>
      <c r="G103" s="10">
        <v>0</v>
      </c>
      <c r="H103" s="10">
        <f t="shared" si="5"/>
        <v>0</v>
      </c>
      <c r="I103" s="10">
        <f t="shared" si="6"/>
        <v>0</v>
      </c>
      <c r="J103" s="10">
        <f>'Stavební rozpočet'!F228</f>
        <v>1</v>
      </c>
      <c r="K103" s="10">
        <v>0</v>
      </c>
      <c r="L103" s="31">
        <v>1</v>
      </c>
      <c r="M103" s="38" t="str">
        <f t="shared" si="7"/>
        <v>Nefakturováno</v>
      </c>
      <c r="N103" s="10">
        <f t="shared" si="8"/>
        <v>0</v>
      </c>
      <c r="O103" s="10">
        <f t="shared" si="9"/>
        <v>-100</v>
      </c>
      <c r="AE103" s="10">
        <v>0</v>
      </c>
    </row>
    <row r="104" spans="1:31" ht="12.75">
      <c r="A104" s="2" t="s">
        <v>83</v>
      </c>
      <c r="B104" s="2" t="s">
        <v>197</v>
      </c>
      <c r="C104" s="2" t="s">
        <v>278</v>
      </c>
      <c r="D104" s="87" t="s">
        <v>595</v>
      </c>
      <c r="E104" s="88"/>
      <c r="F104" s="10">
        <f>'Stavební rozpočet'!J229</f>
        <v>0</v>
      </c>
      <c r="G104" s="10">
        <v>0</v>
      </c>
      <c r="H104" s="10">
        <f t="shared" si="5"/>
        <v>0</v>
      </c>
      <c r="I104" s="10">
        <f t="shared" si="6"/>
        <v>0</v>
      </c>
      <c r="J104" s="10">
        <f>'Stavební rozpočet'!F229</f>
        <v>3</v>
      </c>
      <c r="K104" s="10">
        <v>0</v>
      </c>
      <c r="L104" s="31">
        <v>3</v>
      </c>
      <c r="M104" s="38" t="str">
        <f t="shared" si="7"/>
        <v>Nefakturováno</v>
      </c>
      <c r="N104" s="10">
        <f t="shared" si="8"/>
        <v>0</v>
      </c>
      <c r="O104" s="10">
        <f t="shared" si="9"/>
        <v>-100</v>
      </c>
      <c r="AE104" s="10">
        <v>0</v>
      </c>
    </row>
    <row r="105" spans="1:31" ht="12.75">
      <c r="A105" s="2" t="s">
        <v>84</v>
      </c>
      <c r="B105" s="2" t="s">
        <v>197</v>
      </c>
      <c r="C105" s="2" t="s">
        <v>279</v>
      </c>
      <c r="D105" s="87" t="s">
        <v>596</v>
      </c>
      <c r="E105" s="88"/>
      <c r="F105" s="10">
        <f>'Stavební rozpočet'!J230</f>
        <v>0</v>
      </c>
      <c r="G105" s="10">
        <v>0</v>
      </c>
      <c r="H105" s="10">
        <f t="shared" si="5"/>
        <v>0</v>
      </c>
      <c r="I105" s="10">
        <f t="shared" si="6"/>
        <v>0</v>
      </c>
      <c r="J105" s="10">
        <f>'Stavební rozpočet'!F230</f>
        <v>0.04</v>
      </c>
      <c r="K105" s="10">
        <v>0</v>
      </c>
      <c r="L105" s="31">
        <v>0.036</v>
      </c>
      <c r="M105" s="38" t="str">
        <f t="shared" si="7"/>
        <v>Nefakturováno</v>
      </c>
      <c r="N105" s="10">
        <f t="shared" si="8"/>
        <v>0</v>
      </c>
      <c r="O105" s="10">
        <f t="shared" si="9"/>
        <v>-100</v>
      </c>
      <c r="AE105" s="10">
        <v>0</v>
      </c>
    </row>
    <row r="106" spans="1:31" ht="12.75">
      <c r="A106" s="8"/>
      <c r="B106" s="8" t="s">
        <v>197</v>
      </c>
      <c r="C106" s="8" t="s">
        <v>280</v>
      </c>
      <c r="D106" s="85" t="s">
        <v>597</v>
      </c>
      <c r="E106" s="86"/>
      <c r="F106" s="22">
        <f>SUM(F107:F122)</f>
        <v>0</v>
      </c>
      <c r="G106" s="22">
        <f>SUM(G107:G122)</f>
        <v>0</v>
      </c>
      <c r="H106" s="22">
        <f t="shared" si="5"/>
        <v>0</v>
      </c>
      <c r="I106" s="22">
        <f t="shared" si="6"/>
        <v>0</v>
      </c>
      <c r="J106" s="22">
        <f>SUM(J107:J122)</f>
        <v>128.02</v>
      </c>
      <c r="K106" s="22">
        <f>SUM(K107:K122)</f>
        <v>0</v>
      </c>
      <c r="L106" s="35">
        <f>J106-K106</f>
        <v>128.02</v>
      </c>
      <c r="M106" s="37" t="str">
        <f t="shared" si="7"/>
        <v>Nefakturováno</v>
      </c>
      <c r="N106" s="22">
        <f t="shared" si="8"/>
        <v>0</v>
      </c>
      <c r="O106" s="22">
        <f t="shared" si="9"/>
        <v>-100</v>
      </c>
      <c r="AE106" s="10">
        <v>0</v>
      </c>
    </row>
    <row r="107" spans="1:31" ht="12.75">
      <c r="A107" s="2" t="s">
        <v>85</v>
      </c>
      <c r="B107" s="2" t="s">
        <v>197</v>
      </c>
      <c r="C107" s="2" t="s">
        <v>281</v>
      </c>
      <c r="D107" s="87" t="s">
        <v>598</v>
      </c>
      <c r="E107" s="88"/>
      <c r="F107" s="10">
        <f>'Stavební rozpočet'!J232</f>
        <v>0</v>
      </c>
      <c r="G107" s="10">
        <v>0</v>
      </c>
      <c r="H107" s="10">
        <f t="shared" si="5"/>
        <v>0</v>
      </c>
      <c r="I107" s="10">
        <f t="shared" si="6"/>
        <v>0</v>
      </c>
      <c r="J107" s="10">
        <f>'Stavební rozpočet'!F232</f>
        <v>16</v>
      </c>
      <c r="K107" s="10">
        <v>0</v>
      </c>
      <c r="L107" s="31">
        <v>16</v>
      </c>
      <c r="M107" s="38" t="str">
        <f t="shared" si="7"/>
        <v>Nefakturováno</v>
      </c>
      <c r="N107" s="10">
        <f t="shared" si="8"/>
        <v>0</v>
      </c>
      <c r="O107" s="10">
        <f t="shared" si="9"/>
        <v>-100</v>
      </c>
      <c r="AE107" s="10">
        <v>0</v>
      </c>
    </row>
    <row r="108" spans="1:31" ht="12.75">
      <c r="A108" s="2" t="s">
        <v>86</v>
      </c>
      <c r="B108" s="2" t="s">
        <v>197</v>
      </c>
      <c r="C108" s="2" t="s">
        <v>282</v>
      </c>
      <c r="D108" s="87" t="s">
        <v>599</v>
      </c>
      <c r="E108" s="88"/>
      <c r="F108" s="10">
        <f>'Stavební rozpočet'!J233</f>
        <v>0</v>
      </c>
      <c r="G108" s="10">
        <v>0</v>
      </c>
      <c r="H108" s="10">
        <f t="shared" si="5"/>
        <v>0</v>
      </c>
      <c r="I108" s="10">
        <f t="shared" si="6"/>
        <v>0</v>
      </c>
      <c r="J108" s="10">
        <f>'Stavební rozpočet'!F233</f>
        <v>8</v>
      </c>
      <c r="K108" s="10">
        <v>0</v>
      </c>
      <c r="L108" s="31">
        <v>8</v>
      </c>
      <c r="M108" s="38" t="str">
        <f t="shared" si="7"/>
        <v>Nefakturováno</v>
      </c>
      <c r="N108" s="10">
        <f t="shared" si="8"/>
        <v>0</v>
      </c>
      <c r="O108" s="10">
        <f t="shared" si="9"/>
        <v>-100</v>
      </c>
      <c r="AE108" s="10">
        <v>0</v>
      </c>
    </row>
    <row r="109" spans="1:31" ht="12.75">
      <c r="A109" s="2" t="s">
        <v>87</v>
      </c>
      <c r="B109" s="2" t="s">
        <v>197</v>
      </c>
      <c r="C109" s="2" t="s">
        <v>283</v>
      </c>
      <c r="D109" s="87" t="s">
        <v>600</v>
      </c>
      <c r="E109" s="88"/>
      <c r="F109" s="10">
        <f>'Stavební rozpočet'!J234</f>
        <v>0</v>
      </c>
      <c r="G109" s="10">
        <v>0</v>
      </c>
      <c r="H109" s="10">
        <f t="shared" si="5"/>
        <v>0</v>
      </c>
      <c r="I109" s="10">
        <f t="shared" si="6"/>
        <v>0</v>
      </c>
      <c r="J109" s="10">
        <f>'Stavební rozpočet'!F234</f>
        <v>3</v>
      </c>
      <c r="K109" s="10">
        <v>0</v>
      </c>
      <c r="L109" s="31">
        <v>3</v>
      </c>
      <c r="M109" s="38" t="str">
        <f t="shared" si="7"/>
        <v>Nefakturováno</v>
      </c>
      <c r="N109" s="10">
        <f t="shared" si="8"/>
        <v>0</v>
      </c>
      <c r="O109" s="10">
        <f t="shared" si="9"/>
        <v>-100</v>
      </c>
      <c r="AE109" s="10">
        <v>0</v>
      </c>
    </row>
    <row r="110" spans="1:31" ht="12.75">
      <c r="A110" s="2" t="s">
        <v>88</v>
      </c>
      <c r="B110" s="2" t="s">
        <v>197</v>
      </c>
      <c r="C110" s="2" t="s">
        <v>284</v>
      </c>
      <c r="D110" s="87" t="s">
        <v>601</v>
      </c>
      <c r="E110" s="88"/>
      <c r="F110" s="10">
        <f>'Stavební rozpočet'!J235</f>
        <v>0</v>
      </c>
      <c r="G110" s="10">
        <v>0</v>
      </c>
      <c r="H110" s="10">
        <f t="shared" si="5"/>
        <v>0</v>
      </c>
      <c r="I110" s="10">
        <f t="shared" si="6"/>
        <v>0</v>
      </c>
      <c r="J110" s="10">
        <f>'Stavební rozpočet'!F235</f>
        <v>16</v>
      </c>
      <c r="K110" s="10">
        <v>0</v>
      </c>
      <c r="L110" s="31">
        <v>16</v>
      </c>
      <c r="M110" s="38" t="str">
        <f t="shared" si="7"/>
        <v>Nefakturováno</v>
      </c>
      <c r="N110" s="10">
        <f t="shared" si="8"/>
        <v>0</v>
      </c>
      <c r="O110" s="10">
        <f t="shared" si="9"/>
        <v>-100</v>
      </c>
      <c r="AE110" s="10">
        <v>0</v>
      </c>
    </row>
    <row r="111" spans="1:31" ht="12.75">
      <c r="A111" s="2" t="s">
        <v>89</v>
      </c>
      <c r="B111" s="2" t="s">
        <v>197</v>
      </c>
      <c r="C111" s="2" t="s">
        <v>285</v>
      </c>
      <c r="D111" s="87" t="s">
        <v>601</v>
      </c>
      <c r="E111" s="88"/>
      <c r="F111" s="10">
        <f>'Stavební rozpočet'!J236</f>
        <v>0</v>
      </c>
      <c r="G111" s="10">
        <v>0</v>
      </c>
      <c r="H111" s="10">
        <f t="shared" si="5"/>
        <v>0</v>
      </c>
      <c r="I111" s="10">
        <f t="shared" si="6"/>
        <v>0</v>
      </c>
      <c r="J111" s="10">
        <f>'Stavební rozpočet'!F236</f>
        <v>8</v>
      </c>
      <c r="K111" s="10">
        <v>0</v>
      </c>
      <c r="L111" s="31">
        <v>8</v>
      </c>
      <c r="M111" s="38" t="str">
        <f t="shared" si="7"/>
        <v>Nefakturováno</v>
      </c>
      <c r="N111" s="10">
        <f t="shared" si="8"/>
        <v>0</v>
      </c>
      <c r="O111" s="10">
        <f t="shared" si="9"/>
        <v>-100</v>
      </c>
      <c r="AE111" s="10">
        <v>0</v>
      </c>
    </row>
    <row r="112" spans="1:31" ht="12.75">
      <c r="A112" s="2" t="s">
        <v>90</v>
      </c>
      <c r="B112" s="2" t="s">
        <v>197</v>
      </c>
      <c r="C112" s="2" t="s">
        <v>286</v>
      </c>
      <c r="D112" s="87" t="s">
        <v>601</v>
      </c>
      <c r="E112" s="88"/>
      <c r="F112" s="10">
        <f>'Stavební rozpočet'!J237</f>
        <v>0</v>
      </c>
      <c r="G112" s="10">
        <v>0</v>
      </c>
      <c r="H112" s="10">
        <f t="shared" si="5"/>
        <v>0</v>
      </c>
      <c r="I112" s="10">
        <f t="shared" si="6"/>
        <v>0</v>
      </c>
      <c r="J112" s="10">
        <f>'Stavební rozpočet'!F237</f>
        <v>3</v>
      </c>
      <c r="K112" s="10">
        <v>0</v>
      </c>
      <c r="L112" s="31">
        <v>3</v>
      </c>
      <c r="M112" s="38" t="str">
        <f t="shared" si="7"/>
        <v>Nefakturováno</v>
      </c>
      <c r="N112" s="10">
        <f t="shared" si="8"/>
        <v>0</v>
      </c>
      <c r="O112" s="10">
        <f t="shared" si="9"/>
        <v>-100</v>
      </c>
      <c r="AE112" s="10">
        <v>0</v>
      </c>
    </row>
    <row r="113" spans="1:31" ht="12.75">
      <c r="A113" s="2" t="s">
        <v>91</v>
      </c>
      <c r="B113" s="2" t="s">
        <v>197</v>
      </c>
      <c r="C113" s="2" t="s">
        <v>287</v>
      </c>
      <c r="D113" s="87" t="s">
        <v>602</v>
      </c>
      <c r="E113" s="88"/>
      <c r="F113" s="10">
        <f>'Stavební rozpočet'!J238</f>
        <v>0</v>
      </c>
      <c r="G113" s="10">
        <v>0</v>
      </c>
      <c r="H113" s="10">
        <f t="shared" si="5"/>
        <v>0</v>
      </c>
      <c r="I113" s="10">
        <f t="shared" si="6"/>
        <v>0</v>
      </c>
      <c r="J113" s="10">
        <f>'Stavební rozpočet'!F238</f>
        <v>7</v>
      </c>
      <c r="K113" s="10">
        <v>0</v>
      </c>
      <c r="L113" s="31">
        <v>7</v>
      </c>
      <c r="M113" s="38" t="str">
        <f t="shared" si="7"/>
        <v>Nefakturováno</v>
      </c>
      <c r="N113" s="10">
        <f t="shared" si="8"/>
        <v>0</v>
      </c>
      <c r="O113" s="10">
        <f t="shared" si="9"/>
        <v>-100</v>
      </c>
      <c r="AE113" s="10">
        <v>0</v>
      </c>
    </row>
    <row r="114" spans="1:31" ht="12.75">
      <c r="A114" s="2" t="s">
        <v>92</v>
      </c>
      <c r="B114" s="2" t="s">
        <v>197</v>
      </c>
      <c r="C114" s="2" t="s">
        <v>288</v>
      </c>
      <c r="D114" s="87" t="s">
        <v>603</v>
      </c>
      <c r="E114" s="88"/>
      <c r="F114" s="10">
        <f>'Stavební rozpočet'!J239</f>
        <v>0</v>
      </c>
      <c r="G114" s="10">
        <v>0</v>
      </c>
      <c r="H114" s="10">
        <f t="shared" si="5"/>
        <v>0</v>
      </c>
      <c r="I114" s="10">
        <f t="shared" si="6"/>
        <v>0</v>
      </c>
      <c r="J114" s="10">
        <f>'Stavební rozpočet'!F239</f>
        <v>7</v>
      </c>
      <c r="K114" s="10">
        <v>0</v>
      </c>
      <c r="L114" s="31">
        <v>7</v>
      </c>
      <c r="M114" s="38" t="str">
        <f t="shared" si="7"/>
        <v>Nefakturováno</v>
      </c>
      <c r="N114" s="10">
        <f t="shared" si="8"/>
        <v>0</v>
      </c>
      <c r="O114" s="10">
        <f t="shared" si="9"/>
        <v>-100</v>
      </c>
      <c r="AE114" s="10">
        <v>0</v>
      </c>
    </row>
    <row r="115" spans="1:31" ht="12.75">
      <c r="A115" s="2" t="s">
        <v>93</v>
      </c>
      <c r="B115" s="2" t="s">
        <v>197</v>
      </c>
      <c r="C115" s="2" t="s">
        <v>289</v>
      </c>
      <c r="D115" s="87" t="s">
        <v>604</v>
      </c>
      <c r="E115" s="88"/>
      <c r="F115" s="10">
        <f>'Stavební rozpočet'!J240</f>
        <v>0</v>
      </c>
      <c r="G115" s="10">
        <v>0</v>
      </c>
      <c r="H115" s="10">
        <f t="shared" si="5"/>
        <v>0</v>
      </c>
      <c r="I115" s="10">
        <f t="shared" si="6"/>
        <v>0</v>
      </c>
      <c r="J115" s="10">
        <f>'Stavební rozpočet'!F240</f>
        <v>1</v>
      </c>
      <c r="K115" s="10">
        <v>0</v>
      </c>
      <c r="L115" s="31">
        <v>1</v>
      </c>
      <c r="M115" s="38" t="str">
        <f t="shared" si="7"/>
        <v>Nefakturováno</v>
      </c>
      <c r="N115" s="10">
        <f t="shared" si="8"/>
        <v>0</v>
      </c>
      <c r="O115" s="10">
        <f t="shared" si="9"/>
        <v>-100</v>
      </c>
      <c r="AE115" s="10">
        <v>0</v>
      </c>
    </row>
    <row r="116" spans="1:31" ht="12.75">
      <c r="A116" s="2" t="s">
        <v>94</v>
      </c>
      <c r="B116" s="2" t="s">
        <v>197</v>
      </c>
      <c r="C116" s="2" t="s">
        <v>290</v>
      </c>
      <c r="D116" s="87" t="s">
        <v>605</v>
      </c>
      <c r="E116" s="88"/>
      <c r="F116" s="10">
        <f>'Stavební rozpočet'!J241</f>
        <v>0</v>
      </c>
      <c r="G116" s="10">
        <v>0</v>
      </c>
      <c r="H116" s="10">
        <f t="shared" si="5"/>
        <v>0</v>
      </c>
      <c r="I116" s="10">
        <f t="shared" si="6"/>
        <v>0</v>
      </c>
      <c r="J116" s="10">
        <f>'Stavební rozpočet'!F241</f>
        <v>2</v>
      </c>
      <c r="K116" s="10">
        <v>0</v>
      </c>
      <c r="L116" s="31">
        <v>2</v>
      </c>
      <c r="M116" s="38" t="str">
        <f t="shared" si="7"/>
        <v>Nefakturováno</v>
      </c>
      <c r="N116" s="10">
        <f t="shared" si="8"/>
        <v>0</v>
      </c>
      <c r="O116" s="10">
        <f t="shared" si="9"/>
        <v>-100</v>
      </c>
      <c r="AE116" s="10">
        <v>0</v>
      </c>
    </row>
    <row r="117" spans="1:31" ht="12.75">
      <c r="A117" s="2" t="s">
        <v>95</v>
      </c>
      <c r="B117" s="2" t="s">
        <v>197</v>
      </c>
      <c r="C117" s="2" t="s">
        <v>291</v>
      </c>
      <c r="D117" s="87" t="s">
        <v>606</v>
      </c>
      <c r="E117" s="88"/>
      <c r="F117" s="10">
        <f>'Stavební rozpočet'!J242</f>
        <v>0</v>
      </c>
      <c r="G117" s="10">
        <v>0</v>
      </c>
      <c r="H117" s="10">
        <f t="shared" si="5"/>
        <v>0</v>
      </c>
      <c r="I117" s="10">
        <f t="shared" si="6"/>
        <v>0</v>
      </c>
      <c r="J117" s="10">
        <f>'Stavební rozpočet'!F242</f>
        <v>27</v>
      </c>
      <c r="K117" s="10">
        <v>0</v>
      </c>
      <c r="L117" s="31">
        <v>27</v>
      </c>
      <c r="M117" s="38" t="str">
        <f t="shared" si="7"/>
        <v>Nefakturováno</v>
      </c>
      <c r="N117" s="10">
        <f t="shared" si="8"/>
        <v>0</v>
      </c>
      <c r="O117" s="10">
        <f t="shared" si="9"/>
        <v>-100</v>
      </c>
      <c r="AE117" s="10">
        <v>0</v>
      </c>
    </row>
    <row r="118" spans="1:31" ht="12.75">
      <c r="A118" s="2" t="s">
        <v>96</v>
      </c>
      <c r="B118" s="2" t="s">
        <v>197</v>
      </c>
      <c r="C118" s="2" t="s">
        <v>292</v>
      </c>
      <c r="D118" s="87" t="s">
        <v>608</v>
      </c>
      <c r="E118" s="88"/>
      <c r="F118" s="10">
        <f>'Stavební rozpočet'!J244</f>
        <v>0</v>
      </c>
      <c r="G118" s="10">
        <v>0</v>
      </c>
      <c r="H118" s="10">
        <f t="shared" si="5"/>
        <v>0</v>
      </c>
      <c r="I118" s="10">
        <f t="shared" si="6"/>
        <v>0</v>
      </c>
      <c r="J118" s="10">
        <f>'Stavební rozpočet'!F244</f>
        <v>27</v>
      </c>
      <c r="K118" s="10">
        <v>0</v>
      </c>
      <c r="L118" s="31">
        <v>27</v>
      </c>
      <c r="M118" s="38" t="str">
        <f t="shared" si="7"/>
        <v>Nefakturováno</v>
      </c>
      <c r="N118" s="10">
        <f t="shared" si="8"/>
        <v>0</v>
      </c>
      <c r="O118" s="10">
        <f t="shared" si="9"/>
        <v>-100</v>
      </c>
      <c r="AE118" s="10">
        <v>0</v>
      </c>
    </row>
    <row r="119" spans="1:31" ht="12.75">
      <c r="A119" s="2" t="s">
        <v>97</v>
      </c>
      <c r="B119" s="2" t="s">
        <v>197</v>
      </c>
      <c r="C119" s="2" t="s">
        <v>293</v>
      </c>
      <c r="D119" s="87" t="s">
        <v>609</v>
      </c>
      <c r="E119" s="88"/>
      <c r="F119" s="10">
        <f>'Stavební rozpočet'!J245</f>
        <v>0</v>
      </c>
      <c r="G119" s="10">
        <v>0</v>
      </c>
      <c r="H119" s="10">
        <f t="shared" si="5"/>
        <v>0</v>
      </c>
      <c r="I119" s="10">
        <f t="shared" si="6"/>
        <v>0</v>
      </c>
      <c r="J119" s="10">
        <f>'Stavební rozpočet'!F245</f>
        <v>1</v>
      </c>
      <c r="K119" s="10">
        <v>0</v>
      </c>
      <c r="L119" s="31">
        <v>1</v>
      </c>
      <c r="M119" s="38" t="str">
        <f t="shared" si="7"/>
        <v>Nefakturováno</v>
      </c>
      <c r="N119" s="10">
        <f t="shared" si="8"/>
        <v>0</v>
      </c>
      <c r="O119" s="10">
        <f t="shared" si="9"/>
        <v>-100</v>
      </c>
      <c r="AE119" s="10">
        <v>0</v>
      </c>
    </row>
    <row r="120" spans="1:31" ht="12.75">
      <c r="A120" s="2" t="s">
        <v>98</v>
      </c>
      <c r="B120" s="2" t="s">
        <v>197</v>
      </c>
      <c r="C120" s="2" t="s">
        <v>294</v>
      </c>
      <c r="D120" s="87" t="s">
        <v>610</v>
      </c>
      <c r="E120" s="88"/>
      <c r="F120" s="10">
        <f>'Stavební rozpočet'!J246</f>
        <v>0</v>
      </c>
      <c r="G120" s="10">
        <v>0</v>
      </c>
      <c r="H120" s="10">
        <f t="shared" si="5"/>
        <v>0</v>
      </c>
      <c r="I120" s="10">
        <f t="shared" si="6"/>
        <v>0</v>
      </c>
      <c r="J120" s="10">
        <f>'Stavební rozpočet'!F246</f>
        <v>1</v>
      </c>
      <c r="K120" s="10">
        <v>0</v>
      </c>
      <c r="L120" s="31">
        <v>1</v>
      </c>
      <c r="M120" s="38" t="str">
        <f t="shared" si="7"/>
        <v>Nefakturováno</v>
      </c>
      <c r="N120" s="10">
        <f t="shared" si="8"/>
        <v>0</v>
      </c>
      <c r="O120" s="10">
        <f t="shared" si="9"/>
        <v>-100</v>
      </c>
      <c r="AE120" s="10">
        <v>0</v>
      </c>
    </row>
    <row r="121" spans="1:31" ht="12.75">
      <c r="A121" s="2" t="s">
        <v>99</v>
      </c>
      <c r="B121" s="2" t="s">
        <v>197</v>
      </c>
      <c r="C121" s="2" t="s">
        <v>295</v>
      </c>
      <c r="D121" s="87" t="s">
        <v>611</v>
      </c>
      <c r="E121" s="88"/>
      <c r="F121" s="10">
        <f>'Stavební rozpočet'!J247</f>
        <v>0</v>
      </c>
      <c r="G121" s="10">
        <v>0</v>
      </c>
      <c r="H121" s="10">
        <f t="shared" si="5"/>
        <v>0</v>
      </c>
      <c r="I121" s="10">
        <f t="shared" si="6"/>
        <v>0</v>
      </c>
      <c r="J121" s="10">
        <f>'Stavební rozpočet'!F247</f>
        <v>1</v>
      </c>
      <c r="K121" s="10">
        <v>0</v>
      </c>
      <c r="L121" s="31">
        <v>1</v>
      </c>
      <c r="M121" s="38" t="str">
        <f t="shared" si="7"/>
        <v>Nefakturováno</v>
      </c>
      <c r="N121" s="10">
        <f t="shared" si="8"/>
        <v>0</v>
      </c>
      <c r="O121" s="10">
        <f t="shared" si="9"/>
        <v>-100</v>
      </c>
      <c r="AE121" s="10">
        <v>0</v>
      </c>
    </row>
    <row r="122" spans="1:31" ht="12.75">
      <c r="A122" s="2" t="s">
        <v>100</v>
      </c>
      <c r="B122" s="2" t="s">
        <v>197</v>
      </c>
      <c r="C122" s="2" t="s">
        <v>296</v>
      </c>
      <c r="D122" s="87" t="s">
        <v>612</v>
      </c>
      <c r="E122" s="88"/>
      <c r="F122" s="10">
        <f>'Stavební rozpočet'!J248</f>
        <v>0</v>
      </c>
      <c r="G122" s="10">
        <v>0</v>
      </c>
      <c r="H122" s="10">
        <f t="shared" si="5"/>
        <v>0</v>
      </c>
      <c r="I122" s="10">
        <f t="shared" si="6"/>
        <v>0</v>
      </c>
      <c r="J122" s="10">
        <f>'Stavební rozpočet'!F248</f>
        <v>0.02</v>
      </c>
      <c r="K122" s="10">
        <v>0</v>
      </c>
      <c r="L122" s="31">
        <v>0.0228</v>
      </c>
      <c r="M122" s="38" t="str">
        <f t="shared" si="7"/>
        <v>Nefakturováno</v>
      </c>
      <c r="N122" s="10">
        <f t="shared" si="8"/>
        <v>0</v>
      </c>
      <c r="O122" s="10">
        <f t="shared" si="9"/>
        <v>-100</v>
      </c>
      <c r="AE122" s="10">
        <v>0</v>
      </c>
    </row>
    <row r="123" spans="1:31" ht="12.75">
      <c r="A123" s="8"/>
      <c r="B123" s="8" t="s">
        <v>197</v>
      </c>
      <c r="C123" s="8" t="s">
        <v>297</v>
      </c>
      <c r="D123" s="85" t="s">
        <v>613</v>
      </c>
      <c r="E123" s="86"/>
      <c r="F123" s="22">
        <f>SUM(F124:F144)</f>
        <v>0</v>
      </c>
      <c r="G123" s="22">
        <f>SUM(G124:G144)</f>
        <v>0</v>
      </c>
      <c r="H123" s="22">
        <f t="shared" si="5"/>
        <v>0</v>
      </c>
      <c r="I123" s="22">
        <f t="shared" si="6"/>
        <v>0</v>
      </c>
      <c r="J123" s="22">
        <f>SUM(J124:J144)</f>
        <v>555.61</v>
      </c>
      <c r="K123" s="22">
        <f>SUM(K124:K144)</f>
        <v>0</v>
      </c>
      <c r="L123" s="35">
        <f>J123-K123</f>
        <v>555.61</v>
      </c>
      <c r="M123" s="37" t="str">
        <f t="shared" si="7"/>
        <v>Nefakturováno</v>
      </c>
      <c r="N123" s="22">
        <f t="shared" si="8"/>
        <v>0</v>
      </c>
      <c r="O123" s="22">
        <f t="shared" si="9"/>
        <v>-100</v>
      </c>
      <c r="AE123" s="10">
        <v>0</v>
      </c>
    </row>
    <row r="124" spans="1:31" ht="12.75">
      <c r="A124" s="2" t="s">
        <v>101</v>
      </c>
      <c r="B124" s="2" t="s">
        <v>197</v>
      </c>
      <c r="C124" s="2" t="s">
        <v>298</v>
      </c>
      <c r="D124" s="87" t="s">
        <v>614</v>
      </c>
      <c r="E124" s="88"/>
      <c r="F124" s="10">
        <f>'Stavební rozpočet'!J250</f>
        <v>0</v>
      </c>
      <c r="G124" s="10">
        <v>0</v>
      </c>
      <c r="H124" s="10">
        <f t="shared" si="5"/>
        <v>0</v>
      </c>
      <c r="I124" s="10">
        <f t="shared" si="6"/>
        <v>0</v>
      </c>
      <c r="J124" s="10">
        <f>'Stavební rozpočet'!F250</f>
        <v>1</v>
      </c>
      <c r="K124" s="10">
        <v>0</v>
      </c>
      <c r="L124" s="31">
        <v>1</v>
      </c>
      <c r="M124" s="38" t="str">
        <f t="shared" si="7"/>
        <v>Nefakturováno</v>
      </c>
      <c r="N124" s="10">
        <f t="shared" si="8"/>
        <v>0</v>
      </c>
      <c r="O124" s="10">
        <f t="shared" si="9"/>
        <v>-100</v>
      </c>
      <c r="AE124" s="10">
        <v>0</v>
      </c>
    </row>
    <row r="125" spans="1:31" ht="12.75">
      <c r="A125" s="2" t="s">
        <v>102</v>
      </c>
      <c r="B125" s="2" t="s">
        <v>197</v>
      </c>
      <c r="C125" s="2" t="s">
        <v>299</v>
      </c>
      <c r="D125" s="87" t="s">
        <v>615</v>
      </c>
      <c r="E125" s="88"/>
      <c r="F125" s="10">
        <f>'Stavební rozpočet'!J251</f>
        <v>0</v>
      </c>
      <c r="G125" s="10">
        <v>0</v>
      </c>
      <c r="H125" s="10">
        <f t="shared" si="5"/>
        <v>0</v>
      </c>
      <c r="I125" s="10">
        <f t="shared" si="6"/>
        <v>0</v>
      </c>
      <c r="J125" s="10">
        <f>'Stavební rozpočet'!F251</f>
        <v>1</v>
      </c>
      <c r="K125" s="10">
        <v>0</v>
      </c>
      <c r="L125" s="31">
        <v>1</v>
      </c>
      <c r="M125" s="38" t="str">
        <f t="shared" si="7"/>
        <v>Nefakturováno</v>
      </c>
      <c r="N125" s="10">
        <f t="shared" si="8"/>
        <v>0</v>
      </c>
      <c r="O125" s="10">
        <f t="shared" si="9"/>
        <v>-100</v>
      </c>
      <c r="AE125" s="10">
        <v>0</v>
      </c>
    </row>
    <row r="126" spans="1:31" ht="12.75">
      <c r="A126" s="2" t="s">
        <v>103</v>
      </c>
      <c r="B126" s="2" t="s">
        <v>197</v>
      </c>
      <c r="C126" s="2" t="s">
        <v>300</v>
      </c>
      <c r="D126" s="87" t="s">
        <v>616</v>
      </c>
      <c r="E126" s="88"/>
      <c r="F126" s="10">
        <f>'Stavební rozpočet'!J252</f>
        <v>0</v>
      </c>
      <c r="G126" s="10">
        <v>0</v>
      </c>
      <c r="H126" s="10">
        <f t="shared" si="5"/>
        <v>0</v>
      </c>
      <c r="I126" s="10">
        <f t="shared" si="6"/>
        <v>0</v>
      </c>
      <c r="J126" s="10">
        <f>'Stavební rozpočet'!F252</f>
        <v>1</v>
      </c>
      <c r="K126" s="10">
        <v>0</v>
      </c>
      <c r="L126" s="31">
        <v>1</v>
      </c>
      <c r="M126" s="38" t="str">
        <f t="shared" si="7"/>
        <v>Nefakturováno</v>
      </c>
      <c r="N126" s="10">
        <f t="shared" si="8"/>
        <v>0</v>
      </c>
      <c r="O126" s="10">
        <f t="shared" si="9"/>
        <v>-100</v>
      </c>
      <c r="AE126" s="10">
        <v>0</v>
      </c>
    </row>
    <row r="127" spans="1:31" ht="12.75">
      <c r="A127" s="2" t="s">
        <v>104</v>
      </c>
      <c r="B127" s="2" t="s">
        <v>197</v>
      </c>
      <c r="C127" s="2" t="s">
        <v>301</v>
      </c>
      <c r="D127" s="87" t="s">
        <v>617</v>
      </c>
      <c r="E127" s="88"/>
      <c r="F127" s="10">
        <f>'Stavební rozpočet'!J253</f>
        <v>0</v>
      </c>
      <c r="G127" s="10">
        <v>0</v>
      </c>
      <c r="H127" s="10">
        <f t="shared" si="5"/>
        <v>0</v>
      </c>
      <c r="I127" s="10">
        <f t="shared" si="6"/>
        <v>0</v>
      </c>
      <c r="J127" s="10">
        <f>'Stavební rozpočet'!F253</f>
        <v>4</v>
      </c>
      <c r="K127" s="10">
        <v>0</v>
      </c>
      <c r="L127" s="31">
        <v>4</v>
      </c>
      <c r="M127" s="38" t="str">
        <f t="shared" si="7"/>
        <v>Nefakturováno</v>
      </c>
      <c r="N127" s="10">
        <f t="shared" si="8"/>
        <v>0</v>
      </c>
      <c r="O127" s="10">
        <f t="shared" si="9"/>
        <v>-100</v>
      </c>
      <c r="AE127" s="10">
        <v>0</v>
      </c>
    </row>
    <row r="128" spans="1:31" ht="12.75">
      <c r="A128" s="2" t="s">
        <v>105</v>
      </c>
      <c r="B128" s="2" t="s">
        <v>197</v>
      </c>
      <c r="C128" s="2" t="s">
        <v>302</v>
      </c>
      <c r="D128" s="87" t="s">
        <v>618</v>
      </c>
      <c r="E128" s="88"/>
      <c r="F128" s="10">
        <f>'Stavební rozpočet'!J254</f>
        <v>0</v>
      </c>
      <c r="G128" s="10">
        <v>0</v>
      </c>
      <c r="H128" s="10">
        <f t="shared" si="5"/>
        <v>0</v>
      </c>
      <c r="I128" s="10">
        <f t="shared" si="6"/>
        <v>0</v>
      </c>
      <c r="J128" s="10">
        <f>'Stavební rozpočet'!F254</f>
        <v>1</v>
      </c>
      <c r="K128" s="10">
        <v>0</v>
      </c>
      <c r="L128" s="31">
        <v>1</v>
      </c>
      <c r="M128" s="38" t="str">
        <f t="shared" si="7"/>
        <v>Nefakturováno</v>
      </c>
      <c r="N128" s="10">
        <f t="shared" si="8"/>
        <v>0</v>
      </c>
      <c r="O128" s="10">
        <f t="shared" si="9"/>
        <v>-100</v>
      </c>
      <c r="AE128" s="10">
        <v>0</v>
      </c>
    </row>
    <row r="129" spans="1:31" ht="12.75">
      <c r="A129" s="2" t="s">
        <v>106</v>
      </c>
      <c r="B129" s="2" t="s">
        <v>197</v>
      </c>
      <c r="C129" s="2" t="s">
        <v>303</v>
      </c>
      <c r="D129" s="87" t="s">
        <v>619</v>
      </c>
      <c r="E129" s="88"/>
      <c r="F129" s="10">
        <f>'Stavební rozpočet'!J255</f>
        <v>0</v>
      </c>
      <c r="G129" s="10">
        <v>0</v>
      </c>
      <c r="H129" s="10">
        <f t="shared" si="5"/>
        <v>0</v>
      </c>
      <c r="I129" s="10">
        <f t="shared" si="6"/>
        <v>0</v>
      </c>
      <c r="J129" s="10">
        <f>'Stavební rozpočet'!F255</f>
        <v>1</v>
      </c>
      <c r="K129" s="10">
        <v>0</v>
      </c>
      <c r="L129" s="31">
        <v>1</v>
      </c>
      <c r="M129" s="38" t="str">
        <f t="shared" si="7"/>
        <v>Nefakturováno</v>
      </c>
      <c r="N129" s="10">
        <f t="shared" si="8"/>
        <v>0</v>
      </c>
      <c r="O129" s="10">
        <f t="shared" si="9"/>
        <v>-100</v>
      </c>
      <c r="AE129" s="10">
        <v>0</v>
      </c>
    </row>
    <row r="130" spans="1:31" ht="12.75">
      <c r="A130" s="2" t="s">
        <v>107</v>
      </c>
      <c r="B130" s="2" t="s">
        <v>197</v>
      </c>
      <c r="C130" s="2" t="s">
        <v>304</v>
      </c>
      <c r="D130" s="87" t="s">
        <v>620</v>
      </c>
      <c r="E130" s="88"/>
      <c r="F130" s="10">
        <f>'Stavební rozpočet'!J256</f>
        <v>0</v>
      </c>
      <c r="G130" s="10">
        <v>0</v>
      </c>
      <c r="H130" s="10">
        <f t="shared" si="5"/>
        <v>0</v>
      </c>
      <c r="I130" s="10">
        <f t="shared" si="6"/>
        <v>0</v>
      </c>
      <c r="J130" s="10">
        <f>'Stavební rozpočet'!F256</f>
        <v>1</v>
      </c>
      <c r="K130" s="10">
        <v>0</v>
      </c>
      <c r="L130" s="31">
        <v>1</v>
      </c>
      <c r="M130" s="38" t="str">
        <f t="shared" si="7"/>
        <v>Nefakturováno</v>
      </c>
      <c r="N130" s="10">
        <f t="shared" si="8"/>
        <v>0</v>
      </c>
      <c r="O130" s="10">
        <f t="shared" si="9"/>
        <v>-100</v>
      </c>
      <c r="AE130" s="10">
        <v>0</v>
      </c>
    </row>
    <row r="131" spans="1:31" ht="12.75">
      <c r="A131" s="2" t="s">
        <v>108</v>
      </c>
      <c r="B131" s="2" t="s">
        <v>197</v>
      </c>
      <c r="C131" s="2" t="s">
        <v>305</v>
      </c>
      <c r="D131" s="87" t="s">
        <v>621</v>
      </c>
      <c r="E131" s="88"/>
      <c r="F131" s="10">
        <f>'Stavební rozpočet'!J257</f>
        <v>0</v>
      </c>
      <c r="G131" s="10">
        <v>0</v>
      </c>
      <c r="H131" s="10">
        <f t="shared" si="5"/>
        <v>0</v>
      </c>
      <c r="I131" s="10">
        <f t="shared" si="6"/>
        <v>0</v>
      </c>
      <c r="J131" s="10">
        <f>'Stavební rozpočet'!F257</f>
        <v>1</v>
      </c>
      <c r="K131" s="10">
        <v>0</v>
      </c>
      <c r="L131" s="31">
        <v>1</v>
      </c>
      <c r="M131" s="38" t="str">
        <f t="shared" si="7"/>
        <v>Nefakturováno</v>
      </c>
      <c r="N131" s="10">
        <f t="shared" si="8"/>
        <v>0</v>
      </c>
      <c r="O131" s="10">
        <f t="shared" si="9"/>
        <v>-100</v>
      </c>
      <c r="AE131" s="10">
        <v>0</v>
      </c>
    </row>
    <row r="132" spans="1:31" ht="12.75">
      <c r="A132" s="2" t="s">
        <v>109</v>
      </c>
      <c r="B132" s="2" t="s">
        <v>197</v>
      </c>
      <c r="C132" s="2" t="s">
        <v>306</v>
      </c>
      <c r="D132" s="87" t="s">
        <v>622</v>
      </c>
      <c r="E132" s="88"/>
      <c r="F132" s="10">
        <f>'Stavební rozpočet'!J258</f>
        <v>0</v>
      </c>
      <c r="G132" s="10">
        <v>0</v>
      </c>
      <c r="H132" s="10">
        <f t="shared" si="5"/>
        <v>0</v>
      </c>
      <c r="I132" s="10">
        <f t="shared" si="6"/>
        <v>0</v>
      </c>
      <c r="J132" s="10">
        <f>'Stavební rozpočet'!F258</f>
        <v>1</v>
      </c>
      <c r="K132" s="10">
        <v>0</v>
      </c>
      <c r="L132" s="31">
        <v>1</v>
      </c>
      <c r="M132" s="38" t="str">
        <f t="shared" si="7"/>
        <v>Nefakturováno</v>
      </c>
      <c r="N132" s="10">
        <f t="shared" si="8"/>
        <v>0</v>
      </c>
      <c r="O132" s="10">
        <f t="shared" si="9"/>
        <v>-100</v>
      </c>
      <c r="AE132" s="10">
        <v>0</v>
      </c>
    </row>
    <row r="133" spans="1:31" ht="12.75">
      <c r="A133" s="2" t="s">
        <v>110</v>
      </c>
      <c r="B133" s="2" t="s">
        <v>197</v>
      </c>
      <c r="C133" s="2" t="s">
        <v>307</v>
      </c>
      <c r="D133" s="87" t="s">
        <v>623</v>
      </c>
      <c r="E133" s="88"/>
      <c r="F133" s="10">
        <f>'Stavební rozpočet'!J259</f>
        <v>0</v>
      </c>
      <c r="G133" s="10">
        <v>0</v>
      </c>
      <c r="H133" s="10">
        <f t="shared" si="5"/>
        <v>0</v>
      </c>
      <c r="I133" s="10">
        <f t="shared" si="6"/>
        <v>0</v>
      </c>
      <c r="J133" s="10">
        <f>'Stavební rozpočet'!F259</f>
        <v>1</v>
      </c>
      <c r="K133" s="10">
        <v>0</v>
      </c>
      <c r="L133" s="31">
        <v>1</v>
      </c>
      <c r="M133" s="38" t="str">
        <f t="shared" si="7"/>
        <v>Nefakturováno</v>
      </c>
      <c r="N133" s="10">
        <f t="shared" si="8"/>
        <v>0</v>
      </c>
      <c r="O133" s="10">
        <f t="shared" si="9"/>
        <v>-100</v>
      </c>
      <c r="AE133" s="10">
        <v>0</v>
      </c>
    </row>
    <row r="134" spans="1:31" ht="12.75">
      <c r="A134" s="2" t="s">
        <v>111</v>
      </c>
      <c r="B134" s="2" t="s">
        <v>197</v>
      </c>
      <c r="C134" s="2" t="s">
        <v>308</v>
      </c>
      <c r="D134" s="87" t="s">
        <v>624</v>
      </c>
      <c r="E134" s="88"/>
      <c r="F134" s="10">
        <f>'Stavební rozpočet'!J260</f>
        <v>0</v>
      </c>
      <c r="G134" s="10">
        <v>0</v>
      </c>
      <c r="H134" s="10">
        <f t="shared" si="5"/>
        <v>0</v>
      </c>
      <c r="I134" s="10">
        <f t="shared" si="6"/>
        <v>0</v>
      </c>
      <c r="J134" s="10">
        <f>'Stavební rozpočet'!F260</f>
        <v>1</v>
      </c>
      <c r="K134" s="10">
        <v>0</v>
      </c>
      <c r="L134" s="31">
        <v>1</v>
      </c>
      <c r="M134" s="38" t="str">
        <f t="shared" si="7"/>
        <v>Nefakturováno</v>
      </c>
      <c r="N134" s="10">
        <f t="shared" si="8"/>
        <v>0</v>
      </c>
      <c r="O134" s="10">
        <f t="shared" si="9"/>
        <v>-100</v>
      </c>
      <c r="AE134" s="10">
        <v>0</v>
      </c>
    </row>
    <row r="135" spans="1:31" ht="12.75">
      <c r="A135" s="2" t="s">
        <v>112</v>
      </c>
      <c r="B135" s="2" t="s">
        <v>197</v>
      </c>
      <c r="C135" s="2" t="s">
        <v>309</v>
      </c>
      <c r="D135" s="87" t="s">
        <v>625</v>
      </c>
      <c r="E135" s="88"/>
      <c r="F135" s="10">
        <f>'Stavební rozpočet'!J261</f>
        <v>0</v>
      </c>
      <c r="G135" s="10">
        <v>0</v>
      </c>
      <c r="H135" s="10">
        <f t="shared" si="5"/>
        <v>0</v>
      </c>
      <c r="I135" s="10">
        <f t="shared" si="6"/>
        <v>0</v>
      </c>
      <c r="J135" s="10">
        <f>'Stavební rozpočet'!F261</f>
        <v>1</v>
      </c>
      <c r="K135" s="10">
        <v>0</v>
      </c>
      <c r="L135" s="31">
        <v>1</v>
      </c>
      <c r="M135" s="38" t="str">
        <f t="shared" si="7"/>
        <v>Nefakturováno</v>
      </c>
      <c r="N135" s="10">
        <f t="shared" si="8"/>
        <v>0</v>
      </c>
      <c r="O135" s="10">
        <f t="shared" si="9"/>
        <v>-100</v>
      </c>
      <c r="AE135" s="10">
        <v>0</v>
      </c>
    </row>
    <row r="136" spans="1:31" ht="12.75">
      <c r="A136" s="2" t="s">
        <v>113</v>
      </c>
      <c r="B136" s="2" t="s">
        <v>197</v>
      </c>
      <c r="C136" s="2" t="s">
        <v>310</v>
      </c>
      <c r="D136" s="87" t="s">
        <v>626</v>
      </c>
      <c r="E136" s="88"/>
      <c r="F136" s="10">
        <f>'Stavební rozpočet'!J262</f>
        <v>0</v>
      </c>
      <c r="G136" s="10">
        <v>0</v>
      </c>
      <c r="H136" s="10">
        <f t="shared" si="5"/>
        <v>0</v>
      </c>
      <c r="I136" s="10">
        <f t="shared" si="6"/>
        <v>0</v>
      </c>
      <c r="J136" s="10">
        <f>'Stavební rozpočet'!F262</f>
        <v>1</v>
      </c>
      <c r="K136" s="10">
        <v>0</v>
      </c>
      <c r="L136" s="31">
        <v>1</v>
      </c>
      <c r="M136" s="38" t="str">
        <f t="shared" si="7"/>
        <v>Nefakturováno</v>
      </c>
      <c r="N136" s="10">
        <f t="shared" si="8"/>
        <v>0</v>
      </c>
      <c r="O136" s="10">
        <f t="shared" si="9"/>
        <v>-100</v>
      </c>
      <c r="AE136" s="10">
        <v>0</v>
      </c>
    </row>
    <row r="137" spans="1:31" ht="12.75">
      <c r="A137" s="2" t="s">
        <v>114</v>
      </c>
      <c r="B137" s="2" t="s">
        <v>197</v>
      </c>
      <c r="C137" s="2" t="s">
        <v>311</v>
      </c>
      <c r="D137" s="87" t="s">
        <v>627</v>
      </c>
      <c r="E137" s="88"/>
      <c r="F137" s="10">
        <f>'Stavební rozpočet'!J263</f>
        <v>0</v>
      </c>
      <c r="G137" s="10">
        <v>0</v>
      </c>
      <c r="H137" s="10">
        <f t="shared" si="5"/>
        <v>0</v>
      </c>
      <c r="I137" s="10">
        <f t="shared" si="6"/>
        <v>0</v>
      </c>
      <c r="J137" s="10">
        <f>'Stavební rozpočet'!F263</f>
        <v>1</v>
      </c>
      <c r="K137" s="10">
        <v>0</v>
      </c>
      <c r="L137" s="31">
        <v>1</v>
      </c>
      <c r="M137" s="38" t="str">
        <f t="shared" si="7"/>
        <v>Nefakturováno</v>
      </c>
      <c r="N137" s="10">
        <f t="shared" si="8"/>
        <v>0</v>
      </c>
      <c r="O137" s="10">
        <f t="shared" si="9"/>
        <v>-100</v>
      </c>
      <c r="AE137" s="10">
        <v>0</v>
      </c>
    </row>
    <row r="138" spans="1:31" ht="12.75">
      <c r="A138" s="2" t="s">
        <v>115</v>
      </c>
      <c r="B138" s="2" t="s">
        <v>197</v>
      </c>
      <c r="C138" s="2" t="s">
        <v>312</v>
      </c>
      <c r="D138" s="87" t="s">
        <v>628</v>
      </c>
      <c r="E138" s="88"/>
      <c r="F138" s="10">
        <f>'Stavební rozpočet'!J264</f>
        <v>0</v>
      </c>
      <c r="G138" s="10">
        <v>0</v>
      </c>
      <c r="H138" s="10">
        <f t="shared" si="5"/>
        <v>0</v>
      </c>
      <c r="I138" s="10">
        <f t="shared" si="6"/>
        <v>0</v>
      </c>
      <c r="J138" s="10">
        <f>'Stavební rozpočet'!F264</f>
        <v>1</v>
      </c>
      <c r="K138" s="10">
        <v>0</v>
      </c>
      <c r="L138" s="31">
        <v>1</v>
      </c>
      <c r="M138" s="38" t="str">
        <f t="shared" si="7"/>
        <v>Nefakturováno</v>
      </c>
      <c r="N138" s="10">
        <f t="shared" si="8"/>
        <v>0</v>
      </c>
      <c r="O138" s="10">
        <f t="shared" si="9"/>
        <v>-100</v>
      </c>
      <c r="AE138" s="10">
        <v>0</v>
      </c>
    </row>
    <row r="139" spans="1:31" ht="12.75">
      <c r="A139" s="2" t="s">
        <v>116</v>
      </c>
      <c r="B139" s="2" t="s">
        <v>197</v>
      </c>
      <c r="C139" s="2" t="s">
        <v>313</v>
      </c>
      <c r="D139" s="87" t="s">
        <v>629</v>
      </c>
      <c r="E139" s="88"/>
      <c r="F139" s="10">
        <f>'Stavební rozpočet'!J265</f>
        <v>0</v>
      </c>
      <c r="G139" s="10">
        <v>0</v>
      </c>
      <c r="H139" s="10">
        <f aca="true" t="shared" si="10" ref="H139:H202">G139-F139</f>
        <v>0</v>
      </c>
      <c r="I139" s="10">
        <f aca="true" t="shared" si="11" ref="I139:I202">IF(F139=0,0,H139/F139*100)</f>
        <v>0</v>
      </c>
      <c r="J139" s="10">
        <f>'Stavební rozpočet'!F265</f>
        <v>1</v>
      </c>
      <c r="K139" s="10">
        <v>0</v>
      </c>
      <c r="L139" s="31">
        <v>1</v>
      </c>
      <c r="M139" s="38" t="str">
        <f aca="true" t="shared" si="12" ref="M139:M202">IF(G139=0,"Nefakturováno",AE139)</f>
        <v>Nefakturováno</v>
      </c>
      <c r="N139" s="10">
        <f aca="true" t="shared" si="13" ref="N139:N202">AE139-G139</f>
        <v>0</v>
      </c>
      <c r="O139" s="10">
        <f aca="true" t="shared" si="14" ref="O139:O202">IF(G139&lt;&gt;0,N139/G139*100,-100)</f>
        <v>-100</v>
      </c>
      <c r="AE139" s="10">
        <v>0</v>
      </c>
    </row>
    <row r="140" spans="1:31" ht="12.75">
      <c r="A140" s="2" t="s">
        <v>117</v>
      </c>
      <c r="B140" s="2" t="s">
        <v>197</v>
      </c>
      <c r="C140" s="2" t="s">
        <v>314</v>
      </c>
      <c r="D140" s="87" t="s">
        <v>630</v>
      </c>
      <c r="E140" s="88"/>
      <c r="F140" s="10">
        <f>'Stavební rozpočet'!J266</f>
        <v>0</v>
      </c>
      <c r="G140" s="10">
        <v>0</v>
      </c>
      <c r="H140" s="10">
        <f t="shared" si="10"/>
        <v>0</v>
      </c>
      <c r="I140" s="10">
        <f t="shared" si="11"/>
        <v>0</v>
      </c>
      <c r="J140" s="10">
        <f>'Stavební rozpočet'!F266</f>
        <v>1</v>
      </c>
      <c r="K140" s="10">
        <v>0</v>
      </c>
      <c r="L140" s="31">
        <v>1</v>
      </c>
      <c r="M140" s="38" t="str">
        <f t="shared" si="12"/>
        <v>Nefakturováno</v>
      </c>
      <c r="N140" s="10">
        <f t="shared" si="13"/>
        <v>0</v>
      </c>
      <c r="O140" s="10">
        <f t="shared" si="14"/>
        <v>-100</v>
      </c>
      <c r="AE140" s="10">
        <v>0</v>
      </c>
    </row>
    <row r="141" spans="1:31" ht="12.75">
      <c r="A141" s="3" t="s">
        <v>118</v>
      </c>
      <c r="B141" s="3" t="s">
        <v>197</v>
      </c>
      <c r="C141" s="3" t="s">
        <v>315</v>
      </c>
      <c r="D141" s="89" t="s">
        <v>631</v>
      </c>
      <c r="E141" s="90"/>
      <c r="F141" s="11">
        <f>'Stavební rozpočet'!J267</f>
        <v>0</v>
      </c>
      <c r="G141" s="11">
        <v>0</v>
      </c>
      <c r="H141" s="11">
        <f t="shared" si="10"/>
        <v>0</v>
      </c>
      <c r="I141" s="11">
        <f t="shared" si="11"/>
        <v>0</v>
      </c>
      <c r="J141" s="11">
        <f>'Stavební rozpočet'!F267</f>
        <v>1</v>
      </c>
      <c r="K141" s="11">
        <v>0</v>
      </c>
      <c r="L141" s="32">
        <v>1</v>
      </c>
      <c r="M141" s="39" t="str">
        <f t="shared" si="12"/>
        <v>Nefakturováno</v>
      </c>
      <c r="N141" s="11">
        <f t="shared" si="13"/>
        <v>0</v>
      </c>
      <c r="O141" s="11">
        <f t="shared" si="14"/>
        <v>-100</v>
      </c>
      <c r="AE141" s="11">
        <v>0</v>
      </c>
    </row>
    <row r="142" spans="1:31" ht="12.75">
      <c r="A142" s="2" t="s">
        <v>119</v>
      </c>
      <c r="B142" s="2" t="s">
        <v>197</v>
      </c>
      <c r="C142" s="2" t="s">
        <v>316</v>
      </c>
      <c r="D142" s="87" t="s">
        <v>632</v>
      </c>
      <c r="E142" s="88"/>
      <c r="F142" s="10">
        <f>'Stavební rozpočet'!J268</f>
        <v>0</v>
      </c>
      <c r="G142" s="10">
        <v>0</v>
      </c>
      <c r="H142" s="10">
        <f t="shared" si="10"/>
        <v>0</v>
      </c>
      <c r="I142" s="10">
        <f t="shared" si="11"/>
        <v>0</v>
      </c>
      <c r="J142" s="10">
        <f>'Stavební rozpočet'!F268</f>
        <v>1</v>
      </c>
      <c r="K142" s="10">
        <v>0</v>
      </c>
      <c r="L142" s="31">
        <v>1</v>
      </c>
      <c r="M142" s="38" t="str">
        <f t="shared" si="12"/>
        <v>Nefakturováno</v>
      </c>
      <c r="N142" s="10">
        <f t="shared" si="13"/>
        <v>0</v>
      </c>
      <c r="O142" s="10">
        <f t="shared" si="14"/>
        <v>-100</v>
      </c>
      <c r="AE142" s="10">
        <v>0</v>
      </c>
    </row>
    <row r="143" spans="1:31" ht="12.75">
      <c r="A143" s="2" t="s">
        <v>120</v>
      </c>
      <c r="B143" s="2" t="s">
        <v>197</v>
      </c>
      <c r="C143" s="2" t="s">
        <v>317</v>
      </c>
      <c r="D143" s="87" t="s">
        <v>633</v>
      </c>
      <c r="E143" s="88"/>
      <c r="F143" s="10">
        <f>'Stavební rozpočet'!J269</f>
        <v>0</v>
      </c>
      <c r="G143" s="10">
        <v>0</v>
      </c>
      <c r="H143" s="10">
        <f t="shared" si="10"/>
        <v>0</v>
      </c>
      <c r="I143" s="10">
        <f t="shared" si="11"/>
        <v>0</v>
      </c>
      <c r="J143" s="10">
        <f>'Stavební rozpočet'!F269</f>
        <v>1</v>
      </c>
      <c r="K143" s="10">
        <v>0</v>
      </c>
      <c r="L143" s="31">
        <v>1</v>
      </c>
      <c r="M143" s="38" t="str">
        <f t="shared" si="12"/>
        <v>Nefakturováno</v>
      </c>
      <c r="N143" s="10">
        <f t="shared" si="13"/>
        <v>0</v>
      </c>
      <c r="O143" s="10">
        <f t="shared" si="14"/>
        <v>-100</v>
      </c>
      <c r="AE143" s="10">
        <v>0</v>
      </c>
    </row>
    <row r="144" spans="1:31" ht="12.75">
      <c r="A144" s="2" t="s">
        <v>121</v>
      </c>
      <c r="B144" s="2" t="s">
        <v>197</v>
      </c>
      <c r="C144" s="2" t="s">
        <v>318</v>
      </c>
      <c r="D144" s="87" t="s">
        <v>634</v>
      </c>
      <c r="E144" s="88"/>
      <c r="F144" s="10">
        <f>'Stavební rozpočet'!J270</f>
        <v>0</v>
      </c>
      <c r="G144" s="10">
        <v>0</v>
      </c>
      <c r="H144" s="10">
        <f t="shared" si="10"/>
        <v>0</v>
      </c>
      <c r="I144" s="10">
        <f t="shared" si="11"/>
        <v>0</v>
      </c>
      <c r="J144" s="10">
        <f>'Stavební rozpočet'!F270</f>
        <v>532.61</v>
      </c>
      <c r="K144" s="10">
        <v>0</v>
      </c>
      <c r="L144" s="31">
        <v>532.61</v>
      </c>
      <c r="M144" s="38" t="str">
        <f t="shared" si="12"/>
        <v>Nefakturováno</v>
      </c>
      <c r="N144" s="10">
        <f t="shared" si="13"/>
        <v>0</v>
      </c>
      <c r="O144" s="10">
        <f t="shared" si="14"/>
        <v>-100</v>
      </c>
      <c r="AE144" s="10">
        <v>0</v>
      </c>
    </row>
    <row r="145" spans="1:31" ht="12.75">
      <c r="A145" s="8"/>
      <c r="B145" s="8" t="s">
        <v>197</v>
      </c>
      <c r="C145" s="8" t="s">
        <v>319</v>
      </c>
      <c r="D145" s="85" t="s">
        <v>635</v>
      </c>
      <c r="E145" s="86"/>
      <c r="F145" s="22">
        <f>SUM(F146:F147)</f>
        <v>0</v>
      </c>
      <c r="G145" s="22">
        <f>SUM(G146:G147)</f>
        <v>0</v>
      </c>
      <c r="H145" s="22">
        <f t="shared" si="10"/>
        <v>0</v>
      </c>
      <c r="I145" s="22">
        <f t="shared" si="11"/>
        <v>0</v>
      </c>
      <c r="J145" s="22">
        <f>SUM(J146:J147)</f>
        <v>2</v>
      </c>
      <c r="K145" s="22">
        <f>SUM(K146:K147)</f>
        <v>0</v>
      </c>
      <c r="L145" s="35">
        <f>J145-K145</f>
        <v>2</v>
      </c>
      <c r="M145" s="37" t="str">
        <f t="shared" si="12"/>
        <v>Nefakturováno</v>
      </c>
      <c r="N145" s="22">
        <f t="shared" si="13"/>
        <v>0</v>
      </c>
      <c r="O145" s="22">
        <f t="shared" si="14"/>
        <v>-100</v>
      </c>
      <c r="AE145" s="10">
        <v>0</v>
      </c>
    </row>
    <row r="146" spans="1:31" ht="12.75">
      <c r="A146" s="2" t="s">
        <v>122</v>
      </c>
      <c r="B146" s="2" t="s">
        <v>197</v>
      </c>
      <c r="C146" s="2" t="s">
        <v>320</v>
      </c>
      <c r="D146" s="87" t="s">
        <v>636</v>
      </c>
      <c r="E146" s="88"/>
      <c r="F146" s="10">
        <f>'Stavební rozpočet'!J272</f>
        <v>0</v>
      </c>
      <c r="G146" s="10">
        <v>0</v>
      </c>
      <c r="H146" s="10">
        <f t="shared" si="10"/>
        <v>0</v>
      </c>
      <c r="I146" s="10">
        <f t="shared" si="11"/>
        <v>0</v>
      </c>
      <c r="J146" s="10">
        <f>'Stavební rozpočet'!F272</f>
        <v>1</v>
      </c>
      <c r="K146" s="10">
        <v>0</v>
      </c>
      <c r="L146" s="31">
        <v>1</v>
      </c>
      <c r="M146" s="38" t="str">
        <f t="shared" si="12"/>
        <v>Nefakturováno</v>
      </c>
      <c r="N146" s="10">
        <f t="shared" si="13"/>
        <v>0</v>
      </c>
      <c r="O146" s="10">
        <f t="shared" si="14"/>
        <v>-100</v>
      </c>
      <c r="AE146" s="10">
        <v>0</v>
      </c>
    </row>
    <row r="147" spans="1:31" ht="12.75">
      <c r="A147" s="2" t="s">
        <v>123</v>
      </c>
      <c r="B147" s="2" t="s">
        <v>197</v>
      </c>
      <c r="C147" s="2" t="s">
        <v>321</v>
      </c>
      <c r="D147" s="87" t="s">
        <v>637</v>
      </c>
      <c r="E147" s="88"/>
      <c r="F147" s="10">
        <f>'Stavební rozpočet'!J273</f>
        <v>0</v>
      </c>
      <c r="G147" s="10">
        <v>0</v>
      </c>
      <c r="H147" s="10">
        <f t="shared" si="10"/>
        <v>0</v>
      </c>
      <c r="I147" s="10">
        <f t="shared" si="11"/>
        <v>0</v>
      </c>
      <c r="J147" s="10">
        <f>'Stavební rozpočet'!F273</f>
        <v>1</v>
      </c>
      <c r="K147" s="10">
        <v>0</v>
      </c>
      <c r="L147" s="31">
        <v>1</v>
      </c>
      <c r="M147" s="38" t="str">
        <f t="shared" si="12"/>
        <v>Nefakturováno</v>
      </c>
      <c r="N147" s="10">
        <f t="shared" si="13"/>
        <v>0</v>
      </c>
      <c r="O147" s="10">
        <f t="shared" si="14"/>
        <v>-100</v>
      </c>
      <c r="AE147" s="10">
        <v>0</v>
      </c>
    </row>
    <row r="148" spans="1:31" ht="12.75">
      <c r="A148" s="8"/>
      <c r="B148" s="8" t="s">
        <v>197</v>
      </c>
      <c r="C148" s="8" t="s">
        <v>322</v>
      </c>
      <c r="D148" s="85" t="s">
        <v>638</v>
      </c>
      <c r="E148" s="86"/>
      <c r="F148" s="22">
        <f>SUM(F149:F154)</f>
        <v>0</v>
      </c>
      <c r="G148" s="22">
        <f>SUM(G149:G154)</f>
        <v>0</v>
      </c>
      <c r="H148" s="22">
        <f t="shared" si="10"/>
        <v>0</v>
      </c>
      <c r="I148" s="22">
        <f t="shared" si="11"/>
        <v>0</v>
      </c>
      <c r="J148" s="22">
        <f>SUM(J149:J154)</f>
        <v>13.4</v>
      </c>
      <c r="K148" s="22">
        <f>SUM(K149:K154)</f>
        <v>0</v>
      </c>
      <c r="L148" s="35">
        <f>J148-K148</f>
        <v>13.4</v>
      </c>
      <c r="M148" s="37" t="str">
        <f t="shared" si="12"/>
        <v>Nefakturováno</v>
      </c>
      <c r="N148" s="22">
        <f t="shared" si="13"/>
        <v>0</v>
      </c>
      <c r="O148" s="22">
        <f t="shared" si="14"/>
        <v>-100</v>
      </c>
      <c r="AE148" s="10">
        <v>0</v>
      </c>
    </row>
    <row r="149" spans="1:31" ht="12.75">
      <c r="A149" s="2" t="s">
        <v>124</v>
      </c>
      <c r="B149" s="2" t="s">
        <v>197</v>
      </c>
      <c r="C149" s="2" t="s">
        <v>323</v>
      </c>
      <c r="D149" s="87" t="s">
        <v>639</v>
      </c>
      <c r="E149" s="88"/>
      <c r="F149" s="10">
        <f>'Stavební rozpočet'!J275</f>
        <v>0</v>
      </c>
      <c r="G149" s="10">
        <v>0</v>
      </c>
      <c r="H149" s="10">
        <f t="shared" si="10"/>
        <v>0</v>
      </c>
      <c r="I149" s="10">
        <f t="shared" si="11"/>
        <v>0</v>
      </c>
      <c r="J149" s="10">
        <f>'Stavební rozpočet'!F275</f>
        <v>3.4</v>
      </c>
      <c r="K149" s="10">
        <v>0</v>
      </c>
      <c r="L149" s="31">
        <v>3.4</v>
      </c>
      <c r="M149" s="38" t="str">
        <f t="shared" si="12"/>
        <v>Nefakturováno</v>
      </c>
      <c r="N149" s="10">
        <f t="shared" si="13"/>
        <v>0</v>
      </c>
      <c r="O149" s="10">
        <f t="shared" si="14"/>
        <v>-100</v>
      </c>
      <c r="AE149" s="10">
        <v>0</v>
      </c>
    </row>
    <row r="150" spans="1:31" ht="12.75">
      <c r="A150" s="3" t="s">
        <v>125</v>
      </c>
      <c r="B150" s="3" t="s">
        <v>197</v>
      </c>
      <c r="C150" s="3" t="s">
        <v>324</v>
      </c>
      <c r="D150" s="89" t="s">
        <v>641</v>
      </c>
      <c r="E150" s="90"/>
      <c r="F150" s="11">
        <f>'Stavební rozpočet'!J277</f>
        <v>0</v>
      </c>
      <c r="G150" s="11">
        <v>0</v>
      </c>
      <c r="H150" s="11">
        <f t="shared" si="10"/>
        <v>0</v>
      </c>
      <c r="I150" s="11">
        <f t="shared" si="11"/>
        <v>0</v>
      </c>
      <c r="J150" s="11">
        <f>'Stavební rozpočet'!F277</f>
        <v>4</v>
      </c>
      <c r="K150" s="11">
        <v>0</v>
      </c>
      <c r="L150" s="32">
        <v>4</v>
      </c>
      <c r="M150" s="39" t="str">
        <f t="shared" si="12"/>
        <v>Nefakturováno</v>
      </c>
      <c r="N150" s="11">
        <f t="shared" si="13"/>
        <v>0</v>
      </c>
      <c r="O150" s="11">
        <f t="shared" si="14"/>
        <v>-100</v>
      </c>
      <c r="AE150" s="11">
        <v>0</v>
      </c>
    </row>
    <row r="151" spans="1:31" ht="12.75">
      <c r="A151" s="2" t="s">
        <v>126</v>
      </c>
      <c r="B151" s="2" t="s">
        <v>197</v>
      </c>
      <c r="C151" s="2" t="s">
        <v>325</v>
      </c>
      <c r="D151" s="87" t="s">
        <v>642</v>
      </c>
      <c r="E151" s="88"/>
      <c r="F151" s="10">
        <f>'Stavební rozpočet'!J279</f>
        <v>0</v>
      </c>
      <c r="G151" s="10">
        <v>0</v>
      </c>
      <c r="H151" s="10">
        <f t="shared" si="10"/>
        <v>0</v>
      </c>
      <c r="I151" s="10">
        <f t="shared" si="11"/>
        <v>0</v>
      </c>
      <c r="J151" s="10">
        <f>'Stavební rozpočet'!F279</f>
        <v>1</v>
      </c>
      <c r="K151" s="10">
        <v>0</v>
      </c>
      <c r="L151" s="31">
        <v>1</v>
      </c>
      <c r="M151" s="38" t="str">
        <f t="shared" si="12"/>
        <v>Nefakturováno</v>
      </c>
      <c r="N151" s="10">
        <f t="shared" si="13"/>
        <v>0</v>
      </c>
      <c r="O151" s="10">
        <f t="shared" si="14"/>
        <v>-100</v>
      </c>
      <c r="AE151" s="10">
        <v>0</v>
      </c>
    </row>
    <row r="152" spans="1:31" ht="12.75">
      <c r="A152" s="3" t="s">
        <v>127</v>
      </c>
      <c r="B152" s="3" t="s">
        <v>197</v>
      </c>
      <c r="C152" s="3" t="s">
        <v>326</v>
      </c>
      <c r="D152" s="89" t="s">
        <v>643</v>
      </c>
      <c r="E152" s="90"/>
      <c r="F152" s="11">
        <f>'Stavební rozpočet'!J280</f>
        <v>0</v>
      </c>
      <c r="G152" s="11">
        <v>0</v>
      </c>
      <c r="H152" s="11">
        <f t="shared" si="10"/>
        <v>0</v>
      </c>
      <c r="I152" s="11">
        <f t="shared" si="11"/>
        <v>0</v>
      </c>
      <c r="J152" s="11">
        <f>'Stavební rozpočet'!F280</f>
        <v>3</v>
      </c>
      <c r="K152" s="11">
        <v>0</v>
      </c>
      <c r="L152" s="32">
        <v>3</v>
      </c>
      <c r="M152" s="39" t="str">
        <f t="shared" si="12"/>
        <v>Nefakturováno</v>
      </c>
      <c r="N152" s="11">
        <f t="shared" si="13"/>
        <v>0</v>
      </c>
      <c r="O152" s="11">
        <f t="shared" si="14"/>
        <v>-100</v>
      </c>
      <c r="AE152" s="11">
        <v>0</v>
      </c>
    </row>
    <row r="153" spans="1:31" ht="12.75">
      <c r="A153" s="3" t="s">
        <v>128</v>
      </c>
      <c r="B153" s="3" t="s">
        <v>197</v>
      </c>
      <c r="C153" s="3" t="s">
        <v>327</v>
      </c>
      <c r="D153" s="89" t="s">
        <v>644</v>
      </c>
      <c r="E153" s="90"/>
      <c r="F153" s="11">
        <f>'Stavební rozpočet'!J281</f>
        <v>0</v>
      </c>
      <c r="G153" s="11">
        <v>0</v>
      </c>
      <c r="H153" s="11">
        <f t="shared" si="10"/>
        <v>0</v>
      </c>
      <c r="I153" s="11">
        <f t="shared" si="11"/>
        <v>0</v>
      </c>
      <c r="J153" s="11">
        <f>'Stavební rozpočet'!F281</f>
        <v>1</v>
      </c>
      <c r="K153" s="11">
        <v>0</v>
      </c>
      <c r="L153" s="32">
        <v>1</v>
      </c>
      <c r="M153" s="39" t="str">
        <f t="shared" si="12"/>
        <v>Nefakturováno</v>
      </c>
      <c r="N153" s="11">
        <f t="shared" si="13"/>
        <v>0</v>
      </c>
      <c r="O153" s="11">
        <f t="shared" si="14"/>
        <v>-100</v>
      </c>
      <c r="AE153" s="11">
        <v>0</v>
      </c>
    </row>
    <row r="154" spans="1:31" ht="12.75">
      <c r="A154" s="3" t="s">
        <v>129</v>
      </c>
      <c r="B154" s="3" t="s">
        <v>197</v>
      </c>
      <c r="C154" s="3" t="s">
        <v>328</v>
      </c>
      <c r="D154" s="89" t="s">
        <v>645</v>
      </c>
      <c r="E154" s="90"/>
      <c r="F154" s="11">
        <f>'Stavební rozpočet'!J282</f>
        <v>0</v>
      </c>
      <c r="G154" s="11">
        <v>0</v>
      </c>
      <c r="H154" s="11">
        <f t="shared" si="10"/>
        <v>0</v>
      </c>
      <c r="I154" s="11">
        <f t="shared" si="11"/>
        <v>0</v>
      </c>
      <c r="J154" s="11">
        <f>'Stavební rozpočet'!F282</f>
        <v>1</v>
      </c>
      <c r="K154" s="11">
        <v>0</v>
      </c>
      <c r="L154" s="32">
        <v>1</v>
      </c>
      <c r="M154" s="39" t="str">
        <f t="shared" si="12"/>
        <v>Nefakturováno</v>
      </c>
      <c r="N154" s="11">
        <f t="shared" si="13"/>
        <v>0</v>
      </c>
      <c r="O154" s="11">
        <f t="shared" si="14"/>
        <v>-100</v>
      </c>
      <c r="AE154" s="11">
        <v>0</v>
      </c>
    </row>
    <row r="155" spans="1:31" ht="12.75">
      <c r="A155" s="8"/>
      <c r="B155" s="8" t="s">
        <v>197</v>
      </c>
      <c r="C155" s="8" t="s">
        <v>329</v>
      </c>
      <c r="D155" s="85" t="s">
        <v>646</v>
      </c>
      <c r="E155" s="86"/>
      <c r="F155" s="22">
        <f>SUM(F156:F156)</f>
        <v>0</v>
      </c>
      <c r="G155" s="22">
        <f>SUM(G156:G156)</f>
        <v>0</v>
      </c>
      <c r="H155" s="22">
        <f t="shared" si="10"/>
        <v>0</v>
      </c>
      <c r="I155" s="22">
        <f t="shared" si="11"/>
        <v>0</v>
      </c>
      <c r="J155" s="22">
        <f>SUM(J156:J156)</f>
        <v>1</v>
      </c>
      <c r="K155" s="22">
        <f>SUM(K156:K156)</f>
        <v>0</v>
      </c>
      <c r="L155" s="35">
        <f>J155-K155</f>
        <v>1</v>
      </c>
      <c r="M155" s="37" t="str">
        <f t="shared" si="12"/>
        <v>Nefakturováno</v>
      </c>
      <c r="N155" s="22">
        <f t="shared" si="13"/>
        <v>0</v>
      </c>
      <c r="O155" s="22">
        <f t="shared" si="14"/>
        <v>-100</v>
      </c>
      <c r="AE155" s="11">
        <v>0</v>
      </c>
    </row>
    <row r="156" spans="1:31" ht="12.75">
      <c r="A156" s="2" t="s">
        <v>130</v>
      </c>
      <c r="B156" s="2" t="s">
        <v>197</v>
      </c>
      <c r="C156" s="2" t="s">
        <v>330</v>
      </c>
      <c r="D156" s="87" t="s">
        <v>647</v>
      </c>
      <c r="E156" s="88"/>
      <c r="F156" s="10">
        <f>'Stavební rozpočet'!J284</f>
        <v>0</v>
      </c>
      <c r="G156" s="10">
        <v>0</v>
      </c>
      <c r="H156" s="10">
        <f t="shared" si="10"/>
        <v>0</v>
      </c>
      <c r="I156" s="10">
        <f t="shared" si="11"/>
        <v>0</v>
      </c>
      <c r="J156" s="10">
        <f>'Stavební rozpočet'!F284</f>
        <v>1</v>
      </c>
      <c r="K156" s="10">
        <v>0</v>
      </c>
      <c r="L156" s="31">
        <v>1</v>
      </c>
      <c r="M156" s="38" t="str">
        <f t="shared" si="12"/>
        <v>Nefakturováno</v>
      </c>
      <c r="N156" s="10">
        <f t="shared" si="13"/>
        <v>0</v>
      </c>
      <c r="O156" s="10">
        <f t="shared" si="14"/>
        <v>-100</v>
      </c>
      <c r="AE156" s="10">
        <v>0</v>
      </c>
    </row>
    <row r="157" spans="1:31" ht="12.75">
      <c r="A157" s="8"/>
      <c r="B157" s="8" t="s">
        <v>197</v>
      </c>
      <c r="C157" s="8" t="s">
        <v>331</v>
      </c>
      <c r="D157" s="85" t="s">
        <v>648</v>
      </c>
      <c r="E157" s="86"/>
      <c r="F157" s="22">
        <f>SUM(F158:F167)</f>
        <v>0</v>
      </c>
      <c r="G157" s="22">
        <f>SUM(G158:G167)</f>
        <v>0</v>
      </c>
      <c r="H157" s="22">
        <f t="shared" si="10"/>
        <v>0</v>
      </c>
      <c r="I157" s="22">
        <f t="shared" si="11"/>
        <v>0</v>
      </c>
      <c r="J157" s="22">
        <f>SUM(J158:J167)</f>
        <v>265.79</v>
      </c>
      <c r="K157" s="22">
        <f>SUM(K158:K167)</f>
        <v>0</v>
      </c>
      <c r="L157" s="35">
        <f>J157-K157</f>
        <v>265.79</v>
      </c>
      <c r="M157" s="37" t="str">
        <f t="shared" si="12"/>
        <v>Nefakturováno</v>
      </c>
      <c r="N157" s="22">
        <f t="shared" si="13"/>
        <v>0</v>
      </c>
      <c r="O157" s="22">
        <f t="shared" si="14"/>
        <v>-100</v>
      </c>
      <c r="AE157" s="10">
        <v>0</v>
      </c>
    </row>
    <row r="158" spans="1:31" ht="12.75">
      <c r="A158" s="2" t="s">
        <v>131</v>
      </c>
      <c r="B158" s="2" t="s">
        <v>197</v>
      </c>
      <c r="C158" s="2" t="s">
        <v>332</v>
      </c>
      <c r="D158" s="87" t="s">
        <v>649</v>
      </c>
      <c r="E158" s="88"/>
      <c r="F158" s="10">
        <f>'Stavební rozpočet'!J286</f>
        <v>0</v>
      </c>
      <c r="G158" s="10">
        <v>0</v>
      </c>
      <c r="H158" s="10">
        <f t="shared" si="10"/>
        <v>0</v>
      </c>
      <c r="I158" s="10">
        <f t="shared" si="11"/>
        <v>0</v>
      </c>
      <c r="J158" s="10">
        <f>'Stavební rozpočet'!F286</f>
        <v>17</v>
      </c>
      <c r="K158" s="10">
        <v>0</v>
      </c>
      <c r="L158" s="31">
        <v>17</v>
      </c>
      <c r="M158" s="38" t="str">
        <f t="shared" si="12"/>
        <v>Nefakturováno</v>
      </c>
      <c r="N158" s="10">
        <f t="shared" si="13"/>
        <v>0</v>
      </c>
      <c r="O158" s="10">
        <f t="shared" si="14"/>
        <v>-100</v>
      </c>
      <c r="AE158" s="10">
        <v>0</v>
      </c>
    </row>
    <row r="159" spans="1:31" ht="12.75">
      <c r="A159" s="2" t="s">
        <v>132</v>
      </c>
      <c r="B159" s="2" t="s">
        <v>197</v>
      </c>
      <c r="C159" s="2" t="s">
        <v>333</v>
      </c>
      <c r="D159" s="87" t="s">
        <v>649</v>
      </c>
      <c r="E159" s="88"/>
      <c r="F159" s="10">
        <f>'Stavební rozpočet'!J288</f>
        <v>0</v>
      </c>
      <c r="G159" s="10">
        <v>0</v>
      </c>
      <c r="H159" s="10">
        <f t="shared" si="10"/>
        <v>0</v>
      </c>
      <c r="I159" s="10">
        <f t="shared" si="11"/>
        <v>0</v>
      </c>
      <c r="J159" s="10">
        <f>'Stavební rozpočet'!F288</f>
        <v>84.84</v>
      </c>
      <c r="K159" s="10">
        <v>0</v>
      </c>
      <c r="L159" s="31">
        <v>84.84</v>
      </c>
      <c r="M159" s="38" t="str">
        <f t="shared" si="12"/>
        <v>Nefakturováno</v>
      </c>
      <c r="N159" s="10">
        <f t="shared" si="13"/>
        <v>0</v>
      </c>
      <c r="O159" s="10">
        <f t="shared" si="14"/>
        <v>-100</v>
      </c>
      <c r="AE159" s="10">
        <v>0</v>
      </c>
    </row>
    <row r="160" spans="1:31" ht="12.75">
      <c r="A160" s="2" t="s">
        <v>133</v>
      </c>
      <c r="B160" s="2" t="s">
        <v>197</v>
      </c>
      <c r="C160" s="2" t="s">
        <v>334</v>
      </c>
      <c r="D160" s="87" t="s">
        <v>652</v>
      </c>
      <c r="E160" s="88"/>
      <c r="F160" s="10">
        <f>'Stavební rozpočet'!J290</f>
        <v>0</v>
      </c>
      <c r="G160" s="10">
        <v>0</v>
      </c>
      <c r="H160" s="10">
        <f t="shared" si="10"/>
        <v>0</v>
      </c>
      <c r="I160" s="10">
        <f t="shared" si="11"/>
        <v>0</v>
      </c>
      <c r="J160" s="10">
        <f>'Stavební rozpočet'!F290</f>
        <v>13.52</v>
      </c>
      <c r="K160" s="10">
        <v>0</v>
      </c>
      <c r="L160" s="31">
        <v>13.52</v>
      </c>
      <c r="M160" s="38" t="str">
        <f t="shared" si="12"/>
        <v>Nefakturováno</v>
      </c>
      <c r="N160" s="10">
        <f t="shared" si="13"/>
        <v>0</v>
      </c>
      <c r="O160" s="10">
        <f t="shared" si="14"/>
        <v>-100</v>
      </c>
      <c r="AE160" s="10">
        <v>0</v>
      </c>
    </row>
    <row r="161" spans="1:31" ht="12.75">
      <c r="A161" s="2" t="s">
        <v>134</v>
      </c>
      <c r="B161" s="2" t="s">
        <v>197</v>
      </c>
      <c r="C161" s="2" t="s">
        <v>335</v>
      </c>
      <c r="D161" s="87" t="s">
        <v>655</v>
      </c>
      <c r="E161" s="88"/>
      <c r="F161" s="10">
        <f>'Stavební rozpočet'!J293</f>
        <v>0</v>
      </c>
      <c r="G161" s="10">
        <v>0</v>
      </c>
      <c r="H161" s="10">
        <f t="shared" si="10"/>
        <v>0</v>
      </c>
      <c r="I161" s="10">
        <f t="shared" si="11"/>
        <v>0</v>
      </c>
      <c r="J161" s="10">
        <f>'Stavební rozpočet'!F293</f>
        <v>51.51</v>
      </c>
      <c r="K161" s="10">
        <v>0</v>
      </c>
      <c r="L161" s="31">
        <v>51.51</v>
      </c>
      <c r="M161" s="38" t="str">
        <f t="shared" si="12"/>
        <v>Nefakturováno</v>
      </c>
      <c r="N161" s="10">
        <f t="shared" si="13"/>
        <v>0</v>
      </c>
      <c r="O161" s="10">
        <f t="shared" si="14"/>
        <v>-100</v>
      </c>
      <c r="AE161" s="10">
        <v>0</v>
      </c>
    </row>
    <row r="162" spans="1:31" ht="12.75">
      <c r="A162" s="3" t="s">
        <v>135</v>
      </c>
      <c r="B162" s="3" t="s">
        <v>197</v>
      </c>
      <c r="C162" s="3" t="s">
        <v>336</v>
      </c>
      <c r="D162" s="89" t="s">
        <v>657</v>
      </c>
      <c r="E162" s="90"/>
      <c r="F162" s="11">
        <f>'Stavební rozpočet'!J295</f>
        <v>0</v>
      </c>
      <c r="G162" s="11">
        <v>0</v>
      </c>
      <c r="H162" s="11">
        <f t="shared" si="10"/>
        <v>0</v>
      </c>
      <c r="I162" s="11">
        <f t="shared" si="11"/>
        <v>0</v>
      </c>
      <c r="J162" s="11">
        <f>'Stavební rozpočet'!F295</f>
        <v>54.09</v>
      </c>
      <c r="K162" s="11">
        <v>0</v>
      </c>
      <c r="L162" s="32">
        <v>54.09</v>
      </c>
      <c r="M162" s="39" t="str">
        <f t="shared" si="12"/>
        <v>Nefakturováno</v>
      </c>
      <c r="N162" s="11">
        <f t="shared" si="13"/>
        <v>0</v>
      </c>
      <c r="O162" s="11">
        <f t="shared" si="14"/>
        <v>-100</v>
      </c>
      <c r="AE162" s="11">
        <v>0</v>
      </c>
    </row>
    <row r="163" spans="1:31" ht="12.75">
      <c r="A163" s="2" t="s">
        <v>136</v>
      </c>
      <c r="B163" s="2" t="s">
        <v>197</v>
      </c>
      <c r="C163" s="2" t="s">
        <v>337</v>
      </c>
      <c r="D163" s="87" t="s">
        <v>659</v>
      </c>
      <c r="E163" s="88"/>
      <c r="F163" s="10">
        <f>'Stavební rozpočet'!J297</f>
        <v>0</v>
      </c>
      <c r="G163" s="10">
        <v>0</v>
      </c>
      <c r="H163" s="10">
        <f t="shared" si="10"/>
        <v>0</v>
      </c>
      <c r="I163" s="10">
        <f t="shared" si="11"/>
        <v>0</v>
      </c>
      <c r="J163" s="10">
        <f>'Stavební rozpočet'!F297</f>
        <v>3.94</v>
      </c>
      <c r="K163" s="10">
        <v>0</v>
      </c>
      <c r="L163" s="31">
        <v>3.94</v>
      </c>
      <c r="M163" s="38" t="str">
        <f t="shared" si="12"/>
        <v>Nefakturováno</v>
      </c>
      <c r="N163" s="10">
        <f t="shared" si="13"/>
        <v>0</v>
      </c>
      <c r="O163" s="10">
        <f t="shared" si="14"/>
        <v>-100</v>
      </c>
      <c r="AE163" s="10">
        <v>0</v>
      </c>
    </row>
    <row r="164" spans="1:31" ht="12.75">
      <c r="A164" s="2" t="s">
        <v>137</v>
      </c>
      <c r="B164" s="2" t="s">
        <v>197</v>
      </c>
      <c r="C164" s="2" t="s">
        <v>338</v>
      </c>
      <c r="D164" s="87" t="s">
        <v>661</v>
      </c>
      <c r="E164" s="88"/>
      <c r="F164" s="10">
        <f>'Stavební rozpočet'!J299</f>
        <v>0</v>
      </c>
      <c r="G164" s="10">
        <v>0</v>
      </c>
      <c r="H164" s="10">
        <f t="shared" si="10"/>
        <v>0</v>
      </c>
      <c r="I164" s="10">
        <f t="shared" si="11"/>
        <v>0</v>
      </c>
      <c r="J164" s="10">
        <f>'Stavební rozpočet'!F299</f>
        <v>3.63</v>
      </c>
      <c r="K164" s="10">
        <v>0</v>
      </c>
      <c r="L164" s="31">
        <v>3.63</v>
      </c>
      <c r="M164" s="38" t="str">
        <f t="shared" si="12"/>
        <v>Nefakturováno</v>
      </c>
      <c r="N164" s="10">
        <f t="shared" si="13"/>
        <v>0</v>
      </c>
      <c r="O164" s="10">
        <f t="shared" si="14"/>
        <v>-100</v>
      </c>
      <c r="AE164" s="10">
        <v>0</v>
      </c>
    </row>
    <row r="165" spans="1:31" ht="12.75">
      <c r="A165" s="2" t="s">
        <v>138</v>
      </c>
      <c r="B165" s="2" t="s">
        <v>197</v>
      </c>
      <c r="C165" s="2" t="s">
        <v>339</v>
      </c>
      <c r="D165" s="87" t="s">
        <v>666</v>
      </c>
      <c r="E165" s="88"/>
      <c r="F165" s="10">
        <f>'Stavební rozpočet'!J304</f>
        <v>0</v>
      </c>
      <c r="G165" s="10">
        <v>0</v>
      </c>
      <c r="H165" s="10">
        <f t="shared" si="10"/>
        <v>0</v>
      </c>
      <c r="I165" s="10">
        <f t="shared" si="11"/>
        <v>0</v>
      </c>
      <c r="J165" s="10">
        <f>'Stavební rozpočet'!F304</f>
        <v>16.43</v>
      </c>
      <c r="K165" s="10">
        <v>0</v>
      </c>
      <c r="L165" s="31">
        <v>16.43</v>
      </c>
      <c r="M165" s="38" t="str">
        <f t="shared" si="12"/>
        <v>Nefakturováno</v>
      </c>
      <c r="N165" s="10">
        <f t="shared" si="13"/>
        <v>0</v>
      </c>
      <c r="O165" s="10">
        <f t="shared" si="14"/>
        <v>-100</v>
      </c>
      <c r="AE165" s="10">
        <v>0</v>
      </c>
    </row>
    <row r="166" spans="1:31" ht="12.75">
      <c r="A166" s="3" t="s">
        <v>139</v>
      </c>
      <c r="B166" s="3" t="s">
        <v>197</v>
      </c>
      <c r="C166" s="3" t="s">
        <v>336</v>
      </c>
      <c r="D166" s="89" t="s">
        <v>657</v>
      </c>
      <c r="E166" s="90"/>
      <c r="F166" s="11">
        <f>'Stavební rozpočet'!J307</f>
        <v>0</v>
      </c>
      <c r="G166" s="11">
        <v>0</v>
      </c>
      <c r="H166" s="11">
        <f t="shared" si="10"/>
        <v>0</v>
      </c>
      <c r="I166" s="11">
        <f t="shared" si="11"/>
        <v>0</v>
      </c>
      <c r="J166" s="11">
        <f>'Stavební rozpočet'!F307</f>
        <v>18.07</v>
      </c>
      <c r="K166" s="11">
        <v>0</v>
      </c>
      <c r="L166" s="32">
        <v>18.07</v>
      </c>
      <c r="M166" s="39" t="str">
        <f t="shared" si="12"/>
        <v>Nefakturováno</v>
      </c>
      <c r="N166" s="11">
        <f t="shared" si="13"/>
        <v>0</v>
      </c>
      <c r="O166" s="11">
        <f t="shared" si="14"/>
        <v>-100</v>
      </c>
      <c r="AE166" s="11">
        <v>0</v>
      </c>
    </row>
    <row r="167" spans="1:31" ht="12.75">
      <c r="A167" s="2" t="s">
        <v>140</v>
      </c>
      <c r="B167" s="2" t="s">
        <v>197</v>
      </c>
      <c r="C167" s="2" t="s">
        <v>340</v>
      </c>
      <c r="D167" s="87" t="s">
        <v>670</v>
      </c>
      <c r="E167" s="88"/>
      <c r="F167" s="10">
        <f>'Stavební rozpočet'!J309</f>
        <v>0</v>
      </c>
      <c r="G167" s="10">
        <v>0</v>
      </c>
      <c r="H167" s="10">
        <f t="shared" si="10"/>
        <v>0</v>
      </c>
      <c r="I167" s="10">
        <f t="shared" si="11"/>
        <v>0</v>
      </c>
      <c r="J167" s="10">
        <f>'Stavební rozpočet'!F309</f>
        <v>2.76</v>
      </c>
      <c r="K167" s="10">
        <v>0</v>
      </c>
      <c r="L167" s="31">
        <v>2.7601</v>
      </c>
      <c r="M167" s="38" t="str">
        <f t="shared" si="12"/>
        <v>Nefakturováno</v>
      </c>
      <c r="N167" s="10">
        <f t="shared" si="13"/>
        <v>0</v>
      </c>
      <c r="O167" s="10">
        <f t="shared" si="14"/>
        <v>-100</v>
      </c>
      <c r="AE167" s="10">
        <v>0</v>
      </c>
    </row>
    <row r="168" spans="1:31" ht="12.75">
      <c r="A168" s="8"/>
      <c r="B168" s="8" t="s">
        <v>197</v>
      </c>
      <c r="C168" s="8" t="s">
        <v>341</v>
      </c>
      <c r="D168" s="85" t="s">
        <v>671</v>
      </c>
      <c r="E168" s="86"/>
      <c r="F168" s="22">
        <f>SUM(F169:F180)</f>
        <v>0</v>
      </c>
      <c r="G168" s="22">
        <f>SUM(G169:G180)</f>
        <v>0</v>
      </c>
      <c r="H168" s="22">
        <f t="shared" si="10"/>
        <v>0</v>
      </c>
      <c r="I168" s="22">
        <f t="shared" si="11"/>
        <v>0</v>
      </c>
      <c r="J168" s="22">
        <f>SUM(J169:J180)</f>
        <v>85.85000000000001</v>
      </c>
      <c r="K168" s="22">
        <f>SUM(K169:K180)</f>
        <v>0</v>
      </c>
      <c r="L168" s="35">
        <f>J168-K168</f>
        <v>85.85000000000001</v>
      </c>
      <c r="M168" s="37" t="str">
        <f t="shared" si="12"/>
        <v>Nefakturováno</v>
      </c>
      <c r="N168" s="22">
        <f t="shared" si="13"/>
        <v>0</v>
      </c>
      <c r="O168" s="22">
        <f t="shared" si="14"/>
        <v>-100</v>
      </c>
      <c r="AE168" s="10">
        <v>0</v>
      </c>
    </row>
    <row r="169" spans="1:31" ht="12.75">
      <c r="A169" s="2" t="s">
        <v>141</v>
      </c>
      <c r="B169" s="2" t="s">
        <v>197</v>
      </c>
      <c r="C169" s="2" t="s">
        <v>342</v>
      </c>
      <c r="D169" s="87" t="s">
        <v>672</v>
      </c>
      <c r="E169" s="88"/>
      <c r="F169" s="10">
        <f>'Stavební rozpočet'!J311</f>
        <v>0</v>
      </c>
      <c r="G169" s="10">
        <v>0</v>
      </c>
      <c r="H169" s="10">
        <f t="shared" si="10"/>
        <v>0</v>
      </c>
      <c r="I169" s="10">
        <f t="shared" si="11"/>
        <v>0</v>
      </c>
      <c r="J169" s="10">
        <f>'Stavební rozpočet'!F311</f>
        <v>6.06</v>
      </c>
      <c r="K169" s="10">
        <v>0</v>
      </c>
      <c r="L169" s="31">
        <v>6.06</v>
      </c>
      <c r="M169" s="38" t="str">
        <f t="shared" si="12"/>
        <v>Nefakturováno</v>
      </c>
      <c r="N169" s="10">
        <f t="shared" si="13"/>
        <v>0</v>
      </c>
      <c r="O169" s="10">
        <f t="shared" si="14"/>
        <v>-100</v>
      </c>
      <c r="AE169" s="10">
        <v>0</v>
      </c>
    </row>
    <row r="170" spans="1:31" ht="12.75">
      <c r="A170" s="2" t="s">
        <v>142</v>
      </c>
      <c r="B170" s="2" t="s">
        <v>197</v>
      </c>
      <c r="C170" s="2" t="s">
        <v>343</v>
      </c>
      <c r="D170" s="87" t="s">
        <v>673</v>
      </c>
      <c r="E170" s="88"/>
      <c r="F170" s="10">
        <f>'Stavební rozpočet'!J312</f>
        <v>0</v>
      </c>
      <c r="G170" s="10">
        <v>0</v>
      </c>
      <c r="H170" s="10">
        <f t="shared" si="10"/>
        <v>0</v>
      </c>
      <c r="I170" s="10">
        <f t="shared" si="11"/>
        <v>0</v>
      </c>
      <c r="J170" s="10">
        <f>'Stavební rozpočet'!F312</f>
        <v>0.6</v>
      </c>
      <c r="K170" s="10">
        <v>0</v>
      </c>
      <c r="L170" s="31">
        <v>0.6</v>
      </c>
      <c r="M170" s="38" t="str">
        <f t="shared" si="12"/>
        <v>Nefakturováno</v>
      </c>
      <c r="N170" s="10">
        <f t="shared" si="13"/>
        <v>0</v>
      </c>
      <c r="O170" s="10">
        <f t="shared" si="14"/>
        <v>-100</v>
      </c>
      <c r="AE170" s="10">
        <v>0</v>
      </c>
    </row>
    <row r="171" spans="1:31" ht="12.75">
      <c r="A171" s="2" t="s">
        <v>143</v>
      </c>
      <c r="B171" s="2" t="s">
        <v>197</v>
      </c>
      <c r="C171" s="2" t="s">
        <v>344</v>
      </c>
      <c r="D171" s="87" t="s">
        <v>674</v>
      </c>
      <c r="E171" s="88"/>
      <c r="F171" s="10">
        <f>'Stavební rozpočet'!J313</f>
        <v>0</v>
      </c>
      <c r="G171" s="10">
        <v>0</v>
      </c>
      <c r="H171" s="10">
        <f t="shared" si="10"/>
        <v>0</v>
      </c>
      <c r="I171" s="10">
        <f t="shared" si="11"/>
        <v>0</v>
      </c>
      <c r="J171" s="10">
        <f>'Stavební rozpočet'!F313</f>
        <v>0.65</v>
      </c>
      <c r="K171" s="10">
        <v>0</v>
      </c>
      <c r="L171" s="31">
        <v>0.65</v>
      </c>
      <c r="M171" s="38" t="str">
        <f t="shared" si="12"/>
        <v>Nefakturováno</v>
      </c>
      <c r="N171" s="10">
        <f t="shared" si="13"/>
        <v>0</v>
      </c>
      <c r="O171" s="10">
        <f t="shared" si="14"/>
        <v>-100</v>
      </c>
      <c r="AE171" s="10">
        <v>0</v>
      </c>
    </row>
    <row r="172" spans="1:31" ht="12.75">
      <c r="A172" s="2" t="s">
        <v>144</v>
      </c>
      <c r="B172" s="2" t="s">
        <v>197</v>
      </c>
      <c r="C172" s="2" t="s">
        <v>345</v>
      </c>
      <c r="D172" s="87" t="s">
        <v>675</v>
      </c>
      <c r="E172" s="88"/>
      <c r="F172" s="10">
        <f>'Stavební rozpočet'!J314</f>
        <v>0</v>
      </c>
      <c r="G172" s="10">
        <v>0</v>
      </c>
      <c r="H172" s="10">
        <f t="shared" si="10"/>
        <v>0</v>
      </c>
      <c r="I172" s="10">
        <f t="shared" si="11"/>
        <v>0</v>
      </c>
      <c r="J172" s="10">
        <f>'Stavební rozpočet'!F314</f>
        <v>5.7</v>
      </c>
      <c r="K172" s="10">
        <v>0</v>
      </c>
      <c r="L172" s="31">
        <v>5.7</v>
      </c>
      <c r="M172" s="38" t="str">
        <f t="shared" si="12"/>
        <v>Nefakturováno</v>
      </c>
      <c r="N172" s="10">
        <f t="shared" si="13"/>
        <v>0</v>
      </c>
      <c r="O172" s="10">
        <f t="shared" si="14"/>
        <v>-100</v>
      </c>
      <c r="AE172" s="10">
        <v>0</v>
      </c>
    </row>
    <row r="173" spans="1:31" ht="12.75">
      <c r="A173" s="2" t="s">
        <v>145</v>
      </c>
      <c r="B173" s="2" t="s">
        <v>197</v>
      </c>
      <c r="C173" s="2" t="s">
        <v>346</v>
      </c>
      <c r="D173" s="87" t="s">
        <v>677</v>
      </c>
      <c r="E173" s="88"/>
      <c r="F173" s="10">
        <f>'Stavební rozpočet'!J317</f>
        <v>0</v>
      </c>
      <c r="G173" s="10">
        <v>0</v>
      </c>
      <c r="H173" s="10">
        <f t="shared" si="10"/>
        <v>0</v>
      </c>
      <c r="I173" s="10">
        <f t="shared" si="11"/>
        <v>0</v>
      </c>
      <c r="J173" s="10">
        <f>'Stavební rozpočet'!F317</f>
        <v>8.5</v>
      </c>
      <c r="K173" s="10">
        <v>0</v>
      </c>
      <c r="L173" s="31">
        <v>8.5</v>
      </c>
      <c r="M173" s="38" t="str">
        <f t="shared" si="12"/>
        <v>Nefakturováno</v>
      </c>
      <c r="N173" s="10">
        <f t="shared" si="13"/>
        <v>0</v>
      </c>
      <c r="O173" s="10">
        <f t="shared" si="14"/>
        <v>-100</v>
      </c>
      <c r="AE173" s="10">
        <v>0</v>
      </c>
    </row>
    <row r="174" spans="1:31" ht="12.75">
      <c r="A174" s="2" t="s">
        <v>146</v>
      </c>
      <c r="B174" s="2" t="s">
        <v>197</v>
      </c>
      <c r="C174" s="2" t="s">
        <v>347</v>
      </c>
      <c r="D174" s="87" t="s">
        <v>679</v>
      </c>
      <c r="E174" s="88"/>
      <c r="F174" s="10">
        <f>'Stavební rozpočet'!J319</f>
        <v>0</v>
      </c>
      <c r="G174" s="10">
        <v>0</v>
      </c>
      <c r="H174" s="10">
        <f t="shared" si="10"/>
        <v>0</v>
      </c>
      <c r="I174" s="10">
        <f t="shared" si="11"/>
        <v>0</v>
      </c>
      <c r="J174" s="10">
        <f>'Stavební rozpočet'!F319</f>
        <v>6.06</v>
      </c>
      <c r="K174" s="10">
        <v>0</v>
      </c>
      <c r="L174" s="31">
        <v>6.06</v>
      </c>
      <c r="M174" s="38" t="str">
        <f t="shared" si="12"/>
        <v>Nefakturováno</v>
      </c>
      <c r="N174" s="10">
        <f t="shared" si="13"/>
        <v>0</v>
      </c>
      <c r="O174" s="10">
        <f t="shared" si="14"/>
        <v>-100</v>
      </c>
      <c r="AE174" s="10">
        <v>0</v>
      </c>
    </row>
    <row r="175" spans="1:31" ht="12.75">
      <c r="A175" s="2" t="s">
        <v>147</v>
      </c>
      <c r="B175" s="2" t="s">
        <v>197</v>
      </c>
      <c r="C175" s="2" t="s">
        <v>348</v>
      </c>
      <c r="D175" s="87" t="s">
        <v>681</v>
      </c>
      <c r="E175" s="88"/>
      <c r="F175" s="10">
        <f>'Stavební rozpočet'!J321</f>
        <v>0</v>
      </c>
      <c r="G175" s="10">
        <v>0</v>
      </c>
      <c r="H175" s="10">
        <f t="shared" si="10"/>
        <v>0</v>
      </c>
      <c r="I175" s="10">
        <f t="shared" si="11"/>
        <v>0</v>
      </c>
      <c r="J175" s="10">
        <f>'Stavební rozpočet'!F321</f>
        <v>23.06</v>
      </c>
      <c r="K175" s="10">
        <v>0</v>
      </c>
      <c r="L175" s="31">
        <v>23.06</v>
      </c>
      <c r="M175" s="38" t="str">
        <f t="shared" si="12"/>
        <v>Nefakturováno</v>
      </c>
      <c r="N175" s="10">
        <f t="shared" si="13"/>
        <v>0</v>
      </c>
      <c r="O175" s="10">
        <f t="shared" si="14"/>
        <v>-100</v>
      </c>
      <c r="AE175" s="10">
        <v>0</v>
      </c>
    </row>
    <row r="176" spans="1:31" ht="12.75">
      <c r="A176" s="2" t="s">
        <v>148</v>
      </c>
      <c r="B176" s="2" t="s">
        <v>197</v>
      </c>
      <c r="C176" s="2" t="s">
        <v>349</v>
      </c>
      <c r="D176" s="87" t="s">
        <v>684</v>
      </c>
      <c r="E176" s="88"/>
      <c r="F176" s="10">
        <f>'Stavební rozpočet'!J324</f>
        <v>0</v>
      </c>
      <c r="G176" s="10">
        <v>0</v>
      </c>
      <c r="H176" s="10">
        <f t="shared" si="10"/>
        <v>0</v>
      </c>
      <c r="I176" s="10">
        <f t="shared" si="11"/>
        <v>0</v>
      </c>
      <c r="J176" s="10">
        <f>'Stavební rozpočet'!F324</f>
        <v>22.06</v>
      </c>
      <c r="K176" s="10">
        <v>0</v>
      </c>
      <c r="L176" s="31">
        <v>22.06</v>
      </c>
      <c r="M176" s="38" t="str">
        <f t="shared" si="12"/>
        <v>Nefakturováno</v>
      </c>
      <c r="N176" s="10">
        <f t="shared" si="13"/>
        <v>0</v>
      </c>
      <c r="O176" s="10">
        <f t="shared" si="14"/>
        <v>-100</v>
      </c>
      <c r="AE176" s="10">
        <v>0</v>
      </c>
    </row>
    <row r="177" spans="1:31" ht="12.75">
      <c r="A177" s="2" t="s">
        <v>149</v>
      </c>
      <c r="B177" s="2" t="s">
        <v>197</v>
      </c>
      <c r="C177" s="2" t="s">
        <v>350</v>
      </c>
      <c r="D177" s="87" t="s">
        <v>686</v>
      </c>
      <c r="E177" s="88"/>
      <c r="F177" s="10">
        <f>'Stavební rozpočet'!J327</f>
        <v>0</v>
      </c>
      <c r="G177" s="10">
        <v>0</v>
      </c>
      <c r="H177" s="10">
        <f t="shared" si="10"/>
        <v>0</v>
      </c>
      <c r="I177" s="10">
        <f t="shared" si="11"/>
        <v>0</v>
      </c>
      <c r="J177" s="10">
        <f>'Stavební rozpočet'!F327</f>
        <v>8.65</v>
      </c>
      <c r="K177" s="10">
        <v>0</v>
      </c>
      <c r="L177" s="31">
        <v>8.65</v>
      </c>
      <c r="M177" s="38" t="str">
        <f t="shared" si="12"/>
        <v>Nefakturováno</v>
      </c>
      <c r="N177" s="10">
        <f t="shared" si="13"/>
        <v>0</v>
      </c>
      <c r="O177" s="10">
        <f t="shared" si="14"/>
        <v>-100</v>
      </c>
      <c r="AE177" s="10">
        <v>0</v>
      </c>
    </row>
    <row r="178" spans="1:31" ht="12.75">
      <c r="A178" s="2" t="s">
        <v>150</v>
      </c>
      <c r="B178" s="2" t="s">
        <v>197</v>
      </c>
      <c r="C178" s="2" t="s">
        <v>351</v>
      </c>
      <c r="D178" s="87" t="s">
        <v>688</v>
      </c>
      <c r="E178" s="88"/>
      <c r="F178" s="10">
        <f>'Stavební rozpočet'!J329</f>
        <v>0</v>
      </c>
      <c r="G178" s="10">
        <v>0</v>
      </c>
      <c r="H178" s="10">
        <f t="shared" si="10"/>
        <v>0</v>
      </c>
      <c r="I178" s="10">
        <f t="shared" si="11"/>
        <v>0</v>
      </c>
      <c r="J178" s="10">
        <f>'Stavební rozpočet'!F329</f>
        <v>1</v>
      </c>
      <c r="K178" s="10">
        <v>0</v>
      </c>
      <c r="L178" s="31">
        <v>1</v>
      </c>
      <c r="M178" s="38" t="str">
        <f t="shared" si="12"/>
        <v>Nefakturováno</v>
      </c>
      <c r="N178" s="10">
        <f t="shared" si="13"/>
        <v>0</v>
      </c>
      <c r="O178" s="10">
        <f t="shared" si="14"/>
        <v>-100</v>
      </c>
      <c r="AE178" s="10">
        <v>0</v>
      </c>
    </row>
    <row r="179" spans="1:31" ht="12.75">
      <c r="A179" s="2" t="s">
        <v>151</v>
      </c>
      <c r="B179" s="2" t="s">
        <v>197</v>
      </c>
      <c r="C179" s="2" t="s">
        <v>352</v>
      </c>
      <c r="D179" s="87" t="s">
        <v>689</v>
      </c>
      <c r="E179" s="88"/>
      <c r="F179" s="10">
        <f>'Stavební rozpočet'!J330</f>
        <v>0</v>
      </c>
      <c r="G179" s="10">
        <v>0</v>
      </c>
      <c r="H179" s="10">
        <f t="shared" si="10"/>
        <v>0</v>
      </c>
      <c r="I179" s="10">
        <f t="shared" si="11"/>
        <v>0</v>
      </c>
      <c r="J179" s="10">
        <f>'Stavební rozpočet'!F330</f>
        <v>3.25</v>
      </c>
      <c r="K179" s="10">
        <v>0</v>
      </c>
      <c r="L179" s="31">
        <v>3.25</v>
      </c>
      <c r="M179" s="38" t="str">
        <f t="shared" si="12"/>
        <v>Nefakturováno</v>
      </c>
      <c r="N179" s="10">
        <f t="shared" si="13"/>
        <v>0</v>
      </c>
      <c r="O179" s="10">
        <f t="shared" si="14"/>
        <v>-100</v>
      </c>
      <c r="AE179" s="10">
        <v>0</v>
      </c>
    </row>
    <row r="180" spans="1:31" ht="12.75">
      <c r="A180" s="2" t="s">
        <v>152</v>
      </c>
      <c r="B180" s="2" t="s">
        <v>197</v>
      </c>
      <c r="C180" s="2" t="s">
        <v>353</v>
      </c>
      <c r="D180" s="87" t="s">
        <v>691</v>
      </c>
      <c r="E180" s="88"/>
      <c r="F180" s="10">
        <f>'Stavební rozpočet'!J332</f>
        <v>0</v>
      </c>
      <c r="G180" s="10">
        <v>0</v>
      </c>
      <c r="H180" s="10">
        <f t="shared" si="10"/>
        <v>0</v>
      </c>
      <c r="I180" s="10">
        <f t="shared" si="11"/>
        <v>0</v>
      </c>
      <c r="J180" s="10">
        <f>'Stavební rozpočet'!F332</f>
        <v>0.26</v>
      </c>
      <c r="K180" s="10">
        <v>0</v>
      </c>
      <c r="L180" s="31">
        <v>0.255</v>
      </c>
      <c r="M180" s="38" t="str">
        <f t="shared" si="12"/>
        <v>Nefakturováno</v>
      </c>
      <c r="N180" s="10">
        <f t="shared" si="13"/>
        <v>0</v>
      </c>
      <c r="O180" s="10">
        <f t="shared" si="14"/>
        <v>-100</v>
      </c>
      <c r="AE180" s="10">
        <v>0</v>
      </c>
    </row>
    <row r="181" spans="1:31" ht="12.75">
      <c r="A181" s="8"/>
      <c r="B181" s="8" t="s">
        <v>197</v>
      </c>
      <c r="C181" s="8" t="s">
        <v>354</v>
      </c>
      <c r="D181" s="85" t="s">
        <v>692</v>
      </c>
      <c r="E181" s="86"/>
      <c r="F181" s="22">
        <f>SUM(F182:F195)</f>
        <v>0</v>
      </c>
      <c r="G181" s="22">
        <f>SUM(G182:G195)</f>
        <v>0</v>
      </c>
      <c r="H181" s="22">
        <f t="shared" si="10"/>
        <v>0</v>
      </c>
      <c r="I181" s="22">
        <f t="shared" si="11"/>
        <v>0</v>
      </c>
      <c r="J181" s="22">
        <f>SUM(J182:J195)</f>
        <v>750.12</v>
      </c>
      <c r="K181" s="22">
        <f>SUM(K182:K195)</f>
        <v>0</v>
      </c>
      <c r="L181" s="35">
        <f>J181-K181</f>
        <v>750.12</v>
      </c>
      <c r="M181" s="37" t="str">
        <f t="shared" si="12"/>
        <v>Nefakturováno</v>
      </c>
      <c r="N181" s="22">
        <f t="shared" si="13"/>
        <v>0</v>
      </c>
      <c r="O181" s="22">
        <f t="shared" si="14"/>
        <v>-100</v>
      </c>
      <c r="AE181" s="10">
        <v>0</v>
      </c>
    </row>
    <row r="182" spans="1:31" ht="12.75">
      <c r="A182" s="2" t="s">
        <v>153</v>
      </c>
      <c r="B182" s="2" t="s">
        <v>197</v>
      </c>
      <c r="C182" s="2" t="s">
        <v>355</v>
      </c>
      <c r="D182" s="87" t="s">
        <v>693</v>
      </c>
      <c r="E182" s="88"/>
      <c r="F182" s="10">
        <f>'Stavební rozpočet'!J334</f>
        <v>0</v>
      </c>
      <c r="G182" s="10">
        <v>0</v>
      </c>
      <c r="H182" s="10">
        <f t="shared" si="10"/>
        <v>0</v>
      </c>
      <c r="I182" s="10">
        <f t="shared" si="11"/>
        <v>0</v>
      </c>
      <c r="J182" s="10">
        <f>'Stavební rozpočet'!F334</f>
        <v>2</v>
      </c>
      <c r="K182" s="10">
        <v>0</v>
      </c>
      <c r="L182" s="31">
        <v>2</v>
      </c>
      <c r="M182" s="38" t="str">
        <f t="shared" si="12"/>
        <v>Nefakturováno</v>
      </c>
      <c r="N182" s="10">
        <f t="shared" si="13"/>
        <v>0</v>
      </c>
      <c r="O182" s="10">
        <f t="shared" si="14"/>
        <v>-100</v>
      </c>
      <c r="AE182" s="10">
        <v>0</v>
      </c>
    </row>
    <row r="183" spans="1:31" ht="12.75">
      <c r="A183" s="2" t="s">
        <v>154</v>
      </c>
      <c r="B183" s="2" t="s">
        <v>197</v>
      </c>
      <c r="C183" s="2" t="s">
        <v>356</v>
      </c>
      <c r="D183" s="87" t="s">
        <v>694</v>
      </c>
      <c r="E183" s="88"/>
      <c r="F183" s="10">
        <f>'Stavební rozpočet'!J335</f>
        <v>0</v>
      </c>
      <c r="G183" s="10">
        <v>0</v>
      </c>
      <c r="H183" s="10">
        <f t="shared" si="10"/>
        <v>0</v>
      </c>
      <c r="I183" s="10">
        <f t="shared" si="11"/>
        <v>0</v>
      </c>
      <c r="J183" s="10">
        <f>'Stavební rozpočet'!F335</f>
        <v>2</v>
      </c>
      <c r="K183" s="10">
        <v>0</v>
      </c>
      <c r="L183" s="31">
        <v>2</v>
      </c>
      <c r="M183" s="38" t="str">
        <f t="shared" si="12"/>
        <v>Nefakturováno</v>
      </c>
      <c r="N183" s="10">
        <f t="shared" si="13"/>
        <v>0</v>
      </c>
      <c r="O183" s="10">
        <f t="shared" si="14"/>
        <v>-100</v>
      </c>
      <c r="AE183" s="10">
        <v>0</v>
      </c>
    </row>
    <row r="184" spans="1:31" ht="12.75">
      <c r="A184" s="3" t="s">
        <v>155</v>
      </c>
      <c r="B184" s="3" t="s">
        <v>197</v>
      </c>
      <c r="C184" s="3" t="s">
        <v>357</v>
      </c>
      <c r="D184" s="89" t="s">
        <v>695</v>
      </c>
      <c r="E184" s="90"/>
      <c r="F184" s="11">
        <f>'Stavební rozpočet'!J336</f>
        <v>0</v>
      </c>
      <c r="G184" s="11">
        <v>0</v>
      </c>
      <c r="H184" s="11">
        <f t="shared" si="10"/>
        <v>0</v>
      </c>
      <c r="I184" s="11">
        <f t="shared" si="11"/>
        <v>0</v>
      </c>
      <c r="J184" s="11">
        <f>'Stavební rozpočet'!F336</f>
        <v>2</v>
      </c>
      <c r="K184" s="11">
        <v>0</v>
      </c>
      <c r="L184" s="32">
        <v>2</v>
      </c>
      <c r="M184" s="39" t="str">
        <f t="shared" si="12"/>
        <v>Nefakturováno</v>
      </c>
      <c r="N184" s="11">
        <f t="shared" si="13"/>
        <v>0</v>
      </c>
      <c r="O184" s="11">
        <f t="shared" si="14"/>
        <v>-100</v>
      </c>
      <c r="AE184" s="11">
        <v>0</v>
      </c>
    </row>
    <row r="185" spans="1:31" ht="12.75">
      <c r="A185" s="2" t="s">
        <v>156</v>
      </c>
      <c r="B185" s="2" t="s">
        <v>197</v>
      </c>
      <c r="C185" s="2" t="s">
        <v>358</v>
      </c>
      <c r="D185" s="87" t="s">
        <v>696</v>
      </c>
      <c r="E185" s="88"/>
      <c r="F185" s="10">
        <f>'Stavební rozpočet'!J337</f>
        <v>0</v>
      </c>
      <c r="G185" s="10">
        <v>0</v>
      </c>
      <c r="H185" s="10">
        <f t="shared" si="10"/>
        <v>0</v>
      </c>
      <c r="I185" s="10">
        <f t="shared" si="11"/>
        <v>0</v>
      </c>
      <c r="J185" s="10">
        <f>'Stavební rozpočet'!F337</f>
        <v>4</v>
      </c>
      <c r="K185" s="10">
        <v>0</v>
      </c>
      <c r="L185" s="31">
        <v>4</v>
      </c>
      <c r="M185" s="38" t="str">
        <f t="shared" si="12"/>
        <v>Nefakturováno</v>
      </c>
      <c r="N185" s="10">
        <f t="shared" si="13"/>
        <v>0</v>
      </c>
      <c r="O185" s="10">
        <f t="shared" si="14"/>
        <v>-100</v>
      </c>
      <c r="AE185" s="10">
        <v>0</v>
      </c>
    </row>
    <row r="186" spans="1:31" ht="12.75">
      <c r="A186" s="2" t="s">
        <v>157</v>
      </c>
      <c r="B186" s="2" t="s">
        <v>197</v>
      </c>
      <c r="C186" s="2" t="s">
        <v>359</v>
      </c>
      <c r="D186" s="87" t="s">
        <v>697</v>
      </c>
      <c r="E186" s="88"/>
      <c r="F186" s="10">
        <f>'Stavební rozpočet'!J338</f>
        <v>0</v>
      </c>
      <c r="G186" s="10">
        <v>0</v>
      </c>
      <c r="H186" s="10">
        <f t="shared" si="10"/>
        <v>0</v>
      </c>
      <c r="I186" s="10">
        <f t="shared" si="11"/>
        <v>0</v>
      </c>
      <c r="J186" s="10">
        <f>'Stavební rozpočet'!F338</f>
        <v>1</v>
      </c>
      <c r="K186" s="10">
        <v>0</v>
      </c>
      <c r="L186" s="31">
        <v>1</v>
      </c>
      <c r="M186" s="38" t="str">
        <f t="shared" si="12"/>
        <v>Nefakturováno</v>
      </c>
      <c r="N186" s="10">
        <f t="shared" si="13"/>
        <v>0</v>
      </c>
      <c r="O186" s="10">
        <f t="shared" si="14"/>
        <v>-100</v>
      </c>
      <c r="AE186" s="10">
        <v>0</v>
      </c>
    </row>
    <row r="187" spans="1:31" ht="12.75">
      <c r="A187" s="3" t="s">
        <v>158</v>
      </c>
      <c r="B187" s="3" t="s">
        <v>197</v>
      </c>
      <c r="C187" s="3" t="s">
        <v>360</v>
      </c>
      <c r="D187" s="89" t="s">
        <v>698</v>
      </c>
      <c r="E187" s="90"/>
      <c r="F187" s="11">
        <f>'Stavební rozpočet'!J339</f>
        <v>0</v>
      </c>
      <c r="G187" s="11">
        <v>0</v>
      </c>
      <c r="H187" s="11">
        <f t="shared" si="10"/>
        <v>0</v>
      </c>
      <c r="I187" s="11">
        <f t="shared" si="11"/>
        <v>0</v>
      </c>
      <c r="J187" s="11">
        <f>'Stavební rozpočet'!F339</f>
        <v>4</v>
      </c>
      <c r="K187" s="11">
        <v>0</v>
      </c>
      <c r="L187" s="32">
        <v>4</v>
      </c>
      <c r="M187" s="39" t="str">
        <f t="shared" si="12"/>
        <v>Nefakturováno</v>
      </c>
      <c r="N187" s="11">
        <f t="shared" si="13"/>
        <v>0</v>
      </c>
      <c r="O187" s="11">
        <f t="shared" si="14"/>
        <v>-100</v>
      </c>
      <c r="AE187" s="11">
        <v>0</v>
      </c>
    </row>
    <row r="188" spans="1:31" ht="12.75">
      <c r="A188" s="3" t="s">
        <v>159</v>
      </c>
      <c r="B188" s="3" t="s">
        <v>197</v>
      </c>
      <c r="C188" s="3" t="s">
        <v>361</v>
      </c>
      <c r="D188" s="89" t="s">
        <v>699</v>
      </c>
      <c r="E188" s="90"/>
      <c r="F188" s="11">
        <f>'Stavební rozpočet'!J340</f>
        <v>0</v>
      </c>
      <c r="G188" s="11">
        <v>0</v>
      </c>
      <c r="H188" s="11">
        <f t="shared" si="10"/>
        <v>0</v>
      </c>
      <c r="I188" s="11">
        <f t="shared" si="11"/>
        <v>0</v>
      </c>
      <c r="J188" s="11">
        <f>'Stavební rozpočet'!F340</f>
        <v>1</v>
      </c>
      <c r="K188" s="11">
        <v>0</v>
      </c>
      <c r="L188" s="32">
        <v>1</v>
      </c>
      <c r="M188" s="39" t="str">
        <f t="shared" si="12"/>
        <v>Nefakturováno</v>
      </c>
      <c r="N188" s="11">
        <f t="shared" si="13"/>
        <v>0</v>
      </c>
      <c r="O188" s="11">
        <f t="shared" si="14"/>
        <v>-100</v>
      </c>
      <c r="AE188" s="11">
        <v>0</v>
      </c>
    </row>
    <row r="189" spans="1:31" ht="12.75">
      <c r="A189" s="2" t="s">
        <v>160</v>
      </c>
      <c r="B189" s="2" t="s">
        <v>197</v>
      </c>
      <c r="C189" s="2" t="s">
        <v>362</v>
      </c>
      <c r="D189" s="87" t="s">
        <v>700</v>
      </c>
      <c r="E189" s="88"/>
      <c r="F189" s="10">
        <f>'Stavební rozpočet'!J341</f>
        <v>0</v>
      </c>
      <c r="G189" s="10">
        <v>0</v>
      </c>
      <c r="H189" s="10">
        <f t="shared" si="10"/>
        <v>0</v>
      </c>
      <c r="I189" s="10">
        <f t="shared" si="11"/>
        <v>0</v>
      </c>
      <c r="J189" s="10">
        <f>'Stavební rozpočet'!F341</f>
        <v>1</v>
      </c>
      <c r="K189" s="10">
        <v>0</v>
      </c>
      <c r="L189" s="31">
        <v>1</v>
      </c>
      <c r="M189" s="38" t="str">
        <f t="shared" si="12"/>
        <v>Nefakturováno</v>
      </c>
      <c r="N189" s="10">
        <f t="shared" si="13"/>
        <v>0</v>
      </c>
      <c r="O189" s="10">
        <f t="shared" si="14"/>
        <v>-100</v>
      </c>
      <c r="AE189" s="10">
        <v>0</v>
      </c>
    </row>
    <row r="190" spans="1:31" ht="12.75">
      <c r="A190" s="2" t="s">
        <v>161</v>
      </c>
      <c r="B190" s="2" t="s">
        <v>197</v>
      </c>
      <c r="C190" s="2" t="s">
        <v>363</v>
      </c>
      <c r="D190" s="87" t="s">
        <v>701</v>
      </c>
      <c r="E190" s="88"/>
      <c r="F190" s="10">
        <f>'Stavební rozpočet'!J342</f>
        <v>0</v>
      </c>
      <c r="G190" s="10">
        <v>0</v>
      </c>
      <c r="H190" s="10">
        <f t="shared" si="10"/>
        <v>0</v>
      </c>
      <c r="I190" s="10">
        <f t="shared" si="11"/>
        <v>0</v>
      </c>
      <c r="J190" s="10">
        <f>'Stavební rozpočet'!F342</f>
        <v>1</v>
      </c>
      <c r="K190" s="10">
        <v>0</v>
      </c>
      <c r="L190" s="31">
        <v>1</v>
      </c>
      <c r="M190" s="38" t="str">
        <f t="shared" si="12"/>
        <v>Nefakturováno</v>
      </c>
      <c r="N190" s="10">
        <f t="shared" si="13"/>
        <v>0</v>
      </c>
      <c r="O190" s="10">
        <f t="shared" si="14"/>
        <v>-100</v>
      </c>
      <c r="AE190" s="10">
        <v>0</v>
      </c>
    </row>
    <row r="191" spans="1:31" ht="12.75">
      <c r="A191" s="2" t="s">
        <v>162</v>
      </c>
      <c r="B191" s="2" t="s">
        <v>197</v>
      </c>
      <c r="C191" s="2" t="s">
        <v>364</v>
      </c>
      <c r="D191" s="87" t="s">
        <v>702</v>
      </c>
      <c r="E191" s="88"/>
      <c r="F191" s="10">
        <f>'Stavební rozpočet'!J343</f>
        <v>0</v>
      </c>
      <c r="G191" s="10">
        <v>0</v>
      </c>
      <c r="H191" s="10">
        <f t="shared" si="10"/>
        <v>0</v>
      </c>
      <c r="I191" s="10">
        <f t="shared" si="11"/>
        <v>0</v>
      </c>
      <c r="J191" s="10">
        <f>'Stavební rozpočet'!F343</f>
        <v>1</v>
      </c>
      <c r="K191" s="10">
        <v>0</v>
      </c>
      <c r="L191" s="31">
        <v>1</v>
      </c>
      <c r="M191" s="38" t="str">
        <f t="shared" si="12"/>
        <v>Nefakturováno</v>
      </c>
      <c r="N191" s="10">
        <f t="shared" si="13"/>
        <v>0</v>
      </c>
      <c r="O191" s="10">
        <f t="shared" si="14"/>
        <v>-100</v>
      </c>
      <c r="AE191" s="10">
        <v>0</v>
      </c>
    </row>
    <row r="192" spans="1:31" ht="12.75">
      <c r="A192" s="2" t="s">
        <v>163</v>
      </c>
      <c r="B192" s="2" t="s">
        <v>197</v>
      </c>
      <c r="C192" s="2" t="s">
        <v>365</v>
      </c>
      <c r="D192" s="87" t="s">
        <v>703</v>
      </c>
      <c r="E192" s="88"/>
      <c r="F192" s="10">
        <f>'Stavební rozpočet'!J344</f>
        <v>0</v>
      </c>
      <c r="G192" s="10">
        <v>0</v>
      </c>
      <c r="H192" s="10">
        <f t="shared" si="10"/>
        <v>0</v>
      </c>
      <c r="I192" s="10">
        <f t="shared" si="11"/>
        <v>0</v>
      </c>
      <c r="J192" s="10">
        <f>'Stavební rozpočet'!F344</f>
        <v>1</v>
      </c>
      <c r="K192" s="10">
        <v>0</v>
      </c>
      <c r="L192" s="31">
        <v>1</v>
      </c>
      <c r="M192" s="38" t="str">
        <f t="shared" si="12"/>
        <v>Nefakturováno</v>
      </c>
      <c r="N192" s="10">
        <f t="shared" si="13"/>
        <v>0</v>
      </c>
      <c r="O192" s="10">
        <f t="shared" si="14"/>
        <v>-100</v>
      </c>
      <c r="AE192" s="10">
        <v>0</v>
      </c>
    </row>
    <row r="193" spans="1:31" ht="12.75">
      <c r="A193" s="2" t="s">
        <v>164</v>
      </c>
      <c r="B193" s="2" t="s">
        <v>197</v>
      </c>
      <c r="C193" s="2" t="s">
        <v>366</v>
      </c>
      <c r="D193" s="87" t="s">
        <v>704</v>
      </c>
      <c r="E193" s="88"/>
      <c r="F193" s="10">
        <f>'Stavební rozpočet'!J345</f>
        <v>0</v>
      </c>
      <c r="G193" s="10">
        <v>0</v>
      </c>
      <c r="H193" s="10">
        <f t="shared" si="10"/>
        <v>0</v>
      </c>
      <c r="I193" s="10">
        <f t="shared" si="11"/>
        <v>0</v>
      </c>
      <c r="J193" s="10">
        <f>'Stavební rozpočet'!F345</f>
        <v>1</v>
      </c>
      <c r="K193" s="10">
        <v>0</v>
      </c>
      <c r="L193" s="31">
        <v>1</v>
      </c>
      <c r="M193" s="38" t="str">
        <f t="shared" si="12"/>
        <v>Nefakturováno</v>
      </c>
      <c r="N193" s="10">
        <f t="shared" si="13"/>
        <v>0</v>
      </c>
      <c r="O193" s="10">
        <f t="shared" si="14"/>
        <v>-100</v>
      </c>
      <c r="AE193" s="10">
        <v>0</v>
      </c>
    </row>
    <row r="194" spans="1:31" ht="12.75">
      <c r="A194" s="2" t="s">
        <v>165</v>
      </c>
      <c r="B194" s="2" t="s">
        <v>197</v>
      </c>
      <c r="C194" s="2" t="s">
        <v>367</v>
      </c>
      <c r="D194" s="87" t="s">
        <v>705</v>
      </c>
      <c r="E194" s="88"/>
      <c r="F194" s="10">
        <f>'Stavební rozpočet'!J346</f>
        <v>0</v>
      </c>
      <c r="G194" s="10">
        <v>0</v>
      </c>
      <c r="H194" s="10">
        <f t="shared" si="10"/>
        <v>0</v>
      </c>
      <c r="I194" s="10">
        <f t="shared" si="11"/>
        <v>0</v>
      </c>
      <c r="J194" s="10">
        <f>'Stavební rozpočet'!F346</f>
        <v>1</v>
      </c>
      <c r="K194" s="10">
        <v>0</v>
      </c>
      <c r="L194" s="31">
        <v>1</v>
      </c>
      <c r="M194" s="38" t="str">
        <f t="shared" si="12"/>
        <v>Nefakturováno</v>
      </c>
      <c r="N194" s="10">
        <f t="shared" si="13"/>
        <v>0</v>
      </c>
      <c r="O194" s="10">
        <f t="shared" si="14"/>
        <v>-100</v>
      </c>
      <c r="AE194" s="10">
        <v>0</v>
      </c>
    </row>
    <row r="195" spans="1:31" ht="12.75">
      <c r="A195" s="2" t="s">
        <v>166</v>
      </c>
      <c r="B195" s="2" t="s">
        <v>197</v>
      </c>
      <c r="C195" s="2" t="s">
        <v>368</v>
      </c>
      <c r="D195" s="87" t="s">
        <v>706</v>
      </c>
      <c r="E195" s="88"/>
      <c r="F195" s="10">
        <f>'Stavební rozpočet'!J347</f>
        <v>0</v>
      </c>
      <c r="G195" s="10">
        <v>0</v>
      </c>
      <c r="H195" s="10">
        <f t="shared" si="10"/>
        <v>0</v>
      </c>
      <c r="I195" s="10">
        <f t="shared" si="11"/>
        <v>0</v>
      </c>
      <c r="J195" s="10">
        <f>'Stavební rozpočet'!F347</f>
        <v>728.12</v>
      </c>
      <c r="K195" s="10">
        <v>0</v>
      </c>
      <c r="L195" s="31">
        <v>728.12</v>
      </c>
      <c r="M195" s="38" t="str">
        <f t="shared" si="12"/>
        <v>Nefakturováno</v>
      </c>
      <c r="N195" s="10">
        <f t="shared" si="13"/>
        <v>0</v>
      </c>
      <c r="O195" s="10">
        <f t="shared" si="14"/>
        <v>-100</v>
      </c>
      <c r="AE195" s="10">
        <v>0</v>
      </c>
    </row>
    <row r="196" spans="1:31" ht="12.75">
      <c r="A196" s="8"/>
      <c r="B196" s="8" t="s">
        <v>197</v>
      </c>
      <c r="C196" s="8" t="s">
        <v>369</v>
      </c>
      <c r="D196" s="85" t="s">
        <v>707</v>
      </c>
      <c r="E196" s="86"/>
      <c r="F196" s="22">
        <f>SUM(F197:F204)</f>
        <v>0</v>
      </c>
      <c r="G196" s="22">
        <f>SUM(G197:G204)</f>
        <v>0</v>
      </c>
      <c r="H196" s="22">
        <f t="shared" si="10"/>
        <v>0</v>
      </c>
      <c r="I196" s="22">
        <f t="shared" si="11"/>
        <v>0</v>
      </c>
      <c r="J196" s="22">
        <f>SUM(J197:J204)</f>
        <v>201.26999999999998</v>
      </c>
      <c r="K196" s="22">
        <f>SUM(K197:K204)</f>
        <v>0</v>
      </c>
      <c r="L196" s="35">
        <f>J196-K196</f>
        <v>201.26999999999998</v>
      </c>
      <c r="M196" s="37" t="str">
        <f t="shared" si="12"/>
        <v>Nefakturováno</v>
      </c>
      <c r="N196" s="22">
        <f t="shared" si="13"/>
        <v>0</v>
      </c>
      <c r="O196" s="22">
        <f t="shared" si="14"/>
        <v>-100</v>
      </c>
      <c r="AE196" s="10">
        <v>0</v>
      </c>
    </row>
    <row r="197" spans="1:31" ht="12.75">
      <c r="A197" s="2" t="s">
        <v>167</v>
      </c>
      <c r="B197" s="2" t="s">
        <v>197</v>
      </c>
      <c r="C197" s="2" t="s">
        <v>370</v>
      </c>
      <c r="D197" s="87" t="s">
        <v>708</v>
      </c>
      <c r="E197" s="88"/>
      <c r="F197" s="10">
        <f>'Stavební rozpočet'!J349</f>
        <v>0</v>
      </c>
      <c r="G197" s="10">
        <v>0</v>
      </c>
      <c r="H197" s="10">
        <f t="shared" si="10"/>
        <v>0</v>
      </c>
      <c r="I197" s="10">
        <f t="shared" si="11"/>
        <v>0</v>
      </c>
      <c r="J197" s="10">
        <f>'Stavební rozpočet'!F349</f>
        <v>35.07</v>
      </c>
      <c r="K197" s="10">
        <v>0</v>
      </c>
      <c r="L197" s="31">
        <v>35.07</v>
      </c>
      <c r="M197" s="38" t="str">
        <f t="shared" si="12"/>
        <v>Nefakturováno</v>
      </c>
      <c r="N197" s="10">
        <f t="shared" si="13"/>
        <v>0</v>
      </c>
      <c r="O197" s="10">
        <f t="shared" si="14"/>
        <v>-100</v>
      </c>
      <c r="AE197" s="10">
        <v>0</v>
      </c>
    </row>
    <row r="198" spans="1:31" ht="12.75">
      <c r="A198" s="2" t="s">
        <v>168</v>
      </c>
      <c r="B198" s="2" t="s">
        <v>197</v>
      </c>
      <c r="C198" s="2" t="s">
        <v>371</v>
      </c>
      <c r="D198" s="87" t="s">
        <v>711</v>
      </c>
      <c r="E198" s="88"/>
      <c r="F198" s="10">
        <f>'Stavební rozpočet'!J352</f>
        <v>0</v>
      </c>
      <c r="G198" s="10">
        <v>0</v>
      </c>
      <c r="H198" s="10">
        <f t="shared" si="10"/>
        <v>0</v>
      </c>
      <c r="I198" s="10">
        <f t="shared" si="11"/>
        <v>0</v>
      </c>
      <c r="J198" s="10">
        <f>'Stavební rozpočet'!F352</f>
        <v>23.4</v>
      </c>
      <c r="K198" s="10">
        <v>0</v>
      </c>
      <c r="L198" s="31">
        <v>23.4</v>
      </c>
      <c r="M198" s="38" t="str">
        <f t="shared" si="12"/>
        <v>Nefakturováno</v>
      </c>
      <c r="N198" s="10">
        <f t="shared" si="13"/>
        <v>0</v>
      </c>
      <c r="O198" s="10">
        <f t="shared" si="14"/>
        <v>-100</v>
      </c>
      <c r="AE198" s="10">
        <v>0</v>
      </c>
    </row>
    <row r="199" spans="1:31" ht="12.75">
      <c r="A199" s="2" t="s">
        <v>169</v>
      </c>
      <c r="B199" s="2" t="s">
        <v>197</v>
      </c>
      <c r="C199" s="2" t="s">
        <v>372</v>
      </c>
      <c r="D199" s="87" t="s">
        <v>718</v>
      </c>
      <c r="E199" s="88"/>
      <c r="F199" s="10">
        <f>'Stavební rozpočet'!J359</f>
        <v>0</v>
      </c>
      <c r="G199" s="10">
        <v>0</v>
      </c>
      <c r="H199" s="10">
        <f t="shared" si="10"/>
        <v>0</v>
      </c>
      <c r="I199" s="10">
        <f t="shared" si="11"/>
        <v>0</v>
      </c>
      <c r="J199" s="10">
        <f>'Stavební rozpočet'!F359</f>
        <v>32.73</v>
      </c>
      <c r="K199" s="10">
        <v>0</v>
      </c>
      <c r="L199" s="31">
        <v>32.73</v>
      </c>
      <c r="M199" s="38" t="str">
        <f t="shared" si="12"/>
        <v>Nefakturováno</v>
      </c>
      <c r="N199" s="10">
        <f t="shared" si="13"/>
        <v>0</v>
      </c>
      <c r="O199" s="10">
        <f t="shared" si="14"/>
        <v>-100</v>
      </c>
      <c r="AE199" s="10">
        <v>0</v>
      </c>
    </row>
    <row r="200" spans="1:31" ht="12.75">
      <c r="A200" s="2" t="s">
        <v>170</v>
      </c>
      <c r="B200" s="2" t="s">
        <v>197</v>
      </c>
      <c r="C200" s="2" t="s">
        <v>373</v>
      </c>
      <c r="D200" s="87" t="s">
        <v>719</v>
      </c>
      <c r="E200" s="88"/>
      <c r="F200" s="10">
        <f>'Stavební rozpočet'!J360</f>
        <v>0</v>
      </c>
      <c r="G200" s="10">
        <v>0</v>
      </c>
      <c r="H200" s="10">
        <f t="shared" si="10"/>
        <v>0</v>
      </c>
      <c r="I200" s="10">
        <f t="shared" si="11"/>
        <v>0</v>
      </c>
      <c r="J200" s="10">
        <f>'Stavební rozpočet'!F360</f>
        <v>38</v>
      </c>
      <c r="K200" s="10">
        <v>0</v>
      </c>
      <c r="L200" s="31">
        <v>38</v>
      </c>
      <c r="M200" s="38" t="str">
        <f t="shared" si="12"/>
        <v>Nefakturováno</v>
      </c>
      <c r="N200" s="10">
        <f t="shared" si="13"/>
        <v>0</v>
      </c>
      <c r="O200" s="10">
        <f t="shared" si="14"/>
        <v>-100</v>
      </c>
      <c r="AE200" s="10">
        <v>0</v>
      </c>
    </row>
    <row r="201" spans="1:31" ht="12.75">
      <c r="A201" s="2" t="s">
        <v>171</v>
      </c>
      <c r="B201" s="2" t="s">
        <v>197</v>
      </c>
      <c r="C201" s="2" t="s">
        <v>374</v>
      </c>
      <c r="D201" s="87" t="s">
        <v>720</v>
      </c>
      <c r="E201" s="88"/>
      <c r="F201" s="10">
        <f>'Stavební rozpočet'!J361</f>
        <v>0</v>
      </c>
      <c r="G201" s="10">
        <v>0</v>
      </c>
      <c r="H201" s="10">
        <f t="shared" si="10"/>
        <v>0</v>
      </c>
      <c r="I201" s="10">
        <f t="shared" si="11"/>
        <v>0</v>
      </c>
      <c r="J201" s="10">
        <f>'Stavební rozpočet'!F361</f>
        <v>4.18</v>
      </c>
      <c r="K201" s="10">
        <v>0</v>
      </c>
      <c r="L201" s="31">
        <v>4.18</v>
      </c>
      <c r="M201" s="38" t="str">
        <f t="shared" si="12"/>
        <v>Nefakturováno</v>
      </c>
      <c r="N201" s="10">
        <f t="shared" si="13"/>
        <v>0</v>
      </c>
      <c r="O201" s="10">
        <f t="shared" si="14"/>
        <v>-100</v>
      </c>
      <c r="AE201" s="10">
        <v>0</v>
      </c>
    </row>
    <row r="202" spans="1:31" ht="12.75">
      <c r="A202" s="2" t="s">
        <v>172</v>
      </c>
      <c r="B202" s="2" t="s">
        <v>197</v>
      </c>
      <c r="C202" s="2" t="s">
        <v>375</v>
      </c>
      <c r="D202" s="87" t="s">
        <v>723</v>
      </c>
      <c r="E202" s="88"/>
      <c r="F202" s="10">
        <f>'Stavební rozpočet'!J364</f>
        <v>0</v>
      </c>
      <c r="G202" s="10">
        <v>0</v>
      </c>
      <c r="H202" s="10">
        <f t="shared" si="10"/>
        <v>0</v>
      </c>
      <c r="I202" s="10">
        <f t="shared" si="11"/>
        <v>0</v>
      </c>
      <c r="J202" s="10">
        <f>'Stavební rozpočet'!F364</f>
        <v>32.73</v>
      </c>
      <c r="K202" s="10">
        <v>0</v>
      </c>
      <c r="L202" s="31">
        <v>32.73</v>
      </c>
      <c r="M202" s="38" t="str">
        <f t="shared" si="12"/>
        <v>Nefakturováno</v>
      </c>
      <c r="N202" s="10">
        <f t="shared" si="13"/>
        <v>0</v>
      </c>
      <c r="O202" s="10">
        <f t="shared" si="14"/>
        <v>-100</v>
      </c>
      <c r="AE202" s="10">
        <v>0</v>
      </c>
    </row>
    <row r="203" spans="1:31" ht="12.75">
      <c r="A203" s="3" t="s">
        <v>173</v>
      </c>
      <c r="B203" s="3" t="s">
        <v>197</v>
      </c>
      <c r="C203" s="3" t="s">
        <v>376</v>
      </c>
      <c r="D203" s="89" t="s">
        <v>724</v>
      </c>
      <c r="E203" s="90"/>
      <c r="F203" s="11">
        <f>'Stavební rozpočet'!J365</f>
        <v>0</v>
      </c>
      <c r="G203" s="11">
        <v>0</v>
      </c>
      <c r="H203" s="11">
        <f>G203-F203</f>
        <v>0</v>
      </c>
      <c r="I203" s="11">
        <f>IF(F203=0,0,H203/F203*100)</f>
        <v>0</v>
      </c>
      <c r="J203" s="11">
        <f>'Stavební rozpočet'!F365</f>
        <v>34.37</v>
      </c>
      <c r="K203" s="11">
        <v>0</v>
      </c>
      <c r="L203" s="32">
        <v>34.37</v>
      </c>
      <c r="M203" s="39" t="str">
        <f aca="true" t="shared" si="15" ref="M203:M231">IF(G203=0,"Nefakturováno",AE203)</f>
        <v>Nefakturováno</v>
      </c>
      <c r="N203" s="11">
        <f aca="true" t="shared" si="16" ref="N203:N231">AE203-G203</f>
        <v>0</v>
      </c>
      <c r="O203" s="11">
        <f>IF(G203&lt;&gt;0,N203/G203*100,-100)</f>
        <v>-100</v>
      </c>
      <c r="AE203" s="11">
        <v>0</v>
      </c>
    </row>
    <row r="204" spans="1:31" ht="12.75">
      <c r="A204" s="2" t="s">
        <v>174</v>
      </c>
      <c r="B204" s="2" t="s">
        <v>197</v>
      </c>
      <c r="C204" s="2" t="s">
        <v>377</v>
      </c>
      <c r="D204" s="87" t="s">
        <v>726</v>
      </c>
      <c r="E204" s="88"/>
      <c r="F204" s="10">
        <f>'Stavební rozpočet'!J367</f>
        <v>0</v>
      </c>
      <c r="G204" s="10">
        <v>0</v>
      </c>
      <c r="H204" s="10">
        <f>G204-F204</f>
        <v>0</v>
      </c>
      <c r="I204" s="10">
        <f>IF(F204=0,0,H204/F204*100)</f>
        <v>0</v>
      </c>
      <c r="J204" s="10">
        <f>'Stavební rozpočet'!F367</f>
        <v>0.79</v>
      </c>
      <c r="K204" s="10">
        <v>0</v>
      </c>
      <c r="L204" s="31">
        <v>0.78836</v>
      </c>
      <c r="M204" s="38" t="str">
        <f t="shared" si="15"/>
        <v>Nefakturováno</v>
      </c>
      <c r="N204" s="10">
        <f t="shared" si="16"/>
        <v>0</v>
      </c>
      <c r="O204" s="10">
        <f>IF(G204&lt;&gt;0,N204/G204*100,-100)</f>
        <v>-100</v>
      </c>
      <c r="AE204" s="10">
        <v>0</v>
      </c>
    </row>
    <row r="205" spans="1:31" ht="12.75">
      <c r="A205" s="8"/>
      <c r="B205" s="8" t="s">
        <v>197</v>
      </c>
      <c r="C205" s="8" t="s">
        <v>378</v>
      </c>
      <c r="D205" s="85" t="s">
        <v>727</v>
      </c>
      <c r="E205" s="86"/>
      <c r="F205" s="22">
        <f>SUM(F206:F211)</f>
        <v>0</v>
      </c>
      <c r="G205" s="22">
        <f>SUM(G206:G211)</f>
        <v>0</v>
      </c>
      <c r="H205" s="22">
        <f>G205-F205</f>
        <v>0</v>
      </c>
      <c r="I205" s="22">
        <f>IF(F205=0,0,H205/F205*100)</f>
        <v>0</v>
      </c>
      <c r="J205" s="22">
        <f>SUM(J206:J211)</f>
        <v>173.76</v>
      </c>
      <c r="K205" s="22">
        <f>SUM(K206:K211)</f>
        <v>0</v>
      </c>
      <c r="L205" s="35">
        <f>J205-K205</f>
        <v>173.76</v>
      </c>
      <c r="M205" s="37" t="str">
        <f t="shared" si="15"/>
        <v>Nefakturováno</v>
      </c>
      <c r="N205" s="22">
        <f t="shared" si="16"/>
        <v>0</v>
      </c>
      <c r="O205" s="22">
        <f>IF(G205&lt;&gt;0,N205/G205*100,-100)</f>
        <v>-100</v>
      </c>
      <c r="AE205" s="10">
        <v>0</v>
      </c>
    </row>
    <row r="206" spans="1:31" ht="12.75">
      <c r="A206" s="2" t="s">
        <v>175</v>
      </c>
      <c r="B206" s="2" t="s">
        <v>197</v>
      </c>
      <c r="C206" s="2" t="s">
        <v>379</v>
      </c>
      <c r="D206" s="87" t="s">
        <v>728</v>
      </c>
      <c r="E206" s="88"/>
      <c r="F206" s="10">
        <f>'Stavební rozpočet'!J369</f>
        <v>0</v>
      </c>
      <c r="G206" s="10">
        <v>0</v>
      </c>
      <c r="H206" s="10">
        <f>G206-F206</f>
        <v>0</v>
      </c>
      <c r="I206" s="10">
        <f>IF(F206=0,0,H206/F206*100)</f>
        <v>0</v>
      </c>
      <c r="J206" s="10">
        <f>'Stavební rozpočet'!F369</f>
        <v>35.98</v>
      </c>
      <c r="K206" s="10">
        <v>0</v>
      </c>
      <c r="L206" s="31">
        <v>35.98</v>
      </c>
      <c r="M206" s="38" t="str">
        <f t="shared" si="15"/>
        <v>Nefakturováno</v>
      </c>
      <c r="N206" s="10">
        <f t="shared" si="16"/>
        <v>0</v>
      </c>
      <c r="O206" s="10">
        <f>IF(G206&lt;&gt;0,N206/G206*100,-100)</f>
        <v>-100</v>
      </c>
      <c r="AE206" s="10">
        <v>0</v>
      </c>
    </row>
    <row r="207" spans="1:31" ht="12.75">
      <c r="A207" s="2" t="s">
        <v>176</v>
      </c>
      <c r="B207" s="2" t="s">
        <v>197</v>
      </c>
      <c r="C207" s="2" t="s">
        <v>380</v>
      </c>
      <c r="D207" s="87" t="s">
        <v>734</v>
      </c>
      <c r="E207" s="88"/>
      <c r="F207" s="10">
        <f>'Stavební rozpočet'!J377</f>
        <v>0</v>
      </c>
      <c r="G207" s="10">
        <v>0</v>
      </c>
      <c r="H207" s="10">
        <f>G207-F207</f>
        <v>0</v>
      </c>
      <c r="I207" s="10">
        <f>IF(F207=0,0,H207/F207*100)</f>
        <v>0</v>
      </c>
      <c r="J207" s="10">
        <f>'Stavební rozpočet'!F377</f>
        <v>35.98</v>
      </c>
      <c r="K207" s="10">
        <v>0</v>
      </c>
      <c r="L207" s="31">
        <v>35.98</v>
      </c>
      <c r="M207" s="38" t="str">
        <f t="shared" si="15"/>
        <v>Nefakturováno</v>
      </c>
      <c r="N207" s="10">
        <f t="shared" si="16"/>
        <v>0</v>
      </c>
      <c r="O207" s="10">
        <f>IF(G207&lt;&gt;0,N207/G207*100,-100)</f>
        <v>-100</v>
      </c>
      <c r="AE207" s="10">
        <v>0</v>
      </c>
    </row>
    <row r="208" spans="1:31" ht="12.75">
      <c r="A208" s="2" t="s">
        <v>177</v>
      </c>
      <c r="B208" s="2" t="s">
        <v>197</v>
      </c>
      <c r="C208" s="2" t="s">
        <v>381</v>
      </c>
      <c r="D208" s="87" t="s">
        <v>735</v>
      </c>
      <c r="E208" s="88"/>
      <c r="F208" s="10">
        <f>'Stavební rozpočet'!J378</f>
        <v>0</v>
      </c>
      <c r="G208" s="10">
        <v>0</v>
      </c>
      <c r="H208" s="10">
        <f>G208-F208</f>
        <v>0</v>
      </c>
      <c r="I208" s="10">
        <f>IF(F208=0,0,H208/F208*100)</f>
        <v>0</v>
      </c>
      <c r="J208" s="10">
        <f>'Stavební rozpočet'!F378</f>
        <v>35.98</v>
      </c>
      <c r="K208" s="10">
        <v>0</v>
      </c>
      <c r="L208" s="31">
        <v>35.98</v>
      </c>
      <c r="M208" s="38" t="str">
        <f t="shared" si="15"/>
        <v>Nefakturováno</v>
      </c>
      <c r="N208" s="10">
        <f t="shared" si="16"/>
        <v>0</v>
      </c>
      <c r="O208" s="10">
        <f>IF(G208&lt;&gt;0,N208/G208*100,-100)</f>
        <v>-100</v>
      </c>
      <c r="AE208" s="10">
        <v>0</v>
      </c>
    </row>
    <row r="209" spans="1:31" ht="12.75">
      <c r="A209" s="2" t="s">
        <v>178</v>
      </c>
      <c r="B209" s="2" t="s">
        <v>197</v>
      </c>
      <c r="C209" s="2" t="s">
        <v>382</v>
      </c>
      <c r="D209" s="87" t="s">
        <v>736</v>
      </c>
      <c r="E209" s="88"/>
      <c r="F209" s="10">
        <f>'Stavební rozpočet'!J379</f>
        <v>0</v>
      </c>
      <c r="G209" s="10">
        <v>0</v>
      </c>
      <c r="H209" s="10">
        <f>G209-F209</f>
        <v>0</v>
      </c>
      <c r="I209" s="10">
        <f>IF(F209=0,0,H209/F209*100)</f>
        <v>0</v>
      </c>
      <c r="J209" s="10">
        <f>'Stavební rozpočet'!F379</f>
        <v>27</v>
      </c>
      <c r="K209" s="10">
        <v>0</v>
      </c>
      <c r="L209" s="31">
        <v>27</v>
      </c>
      <c r="M209" s="38" t="str">
        <f t="shared" si="15"/>
        <v>Nefakturováno</v>
      </c>
      <c r="N209" s="10">
        <f t="shared" si="16"/>
        <v>0</v>
      </c>
      <c r="O209" s="10">
        <f>IF(G209&lt;&gt;0,N209/G209*100,-100)</f>
        <v>-100</v>
      </c>
      <c r="AE209" s="10">
        <v>0</v>
      </c>
    </row>
    <row r="210" spans="1:31" ht="12.75">
      <c r="A210" s="3" t="s">
        <v>179</v>
      </c>
      <c r="B210" s="3" t="s">
        <v>197</v>
      </c>
      <c r="C210" s="3" t="s">
        <v>383</v>
      </c>
      <c r="D210" s="89" t="s">
        <v>737</v>
      </c>
      <c r="E210" s="90"/>
      <c r="F210" s="11">
        <f>'Stavební rozpočet'!J380</f>
        <v>0</v>
      </c>
      <c r="G210" s="11">
        <v>0</v>
      </c>
      <c r="H210" s="11">
        <f>G210-F210</f>
        <v>0</v>
      </c>
      <c r="I210" s="11">
        <f>IF(F210=0,0,H210/F210*100)</f>
        <v>0</v>
      </c>
      <c r="J210" s="11">
        <f>'Stavební rozpočet'!F380</f>
        <v>38.14</v>
      </c>
      <c r="K210" s="11">
        <v>0</v>
      </c>
      <c r="L210" s="32">
        <v>38.14</v>
      </c>
      <c r="M210" s="39" t="str">
        <f t="shared" si="15"/>
        <v>Nefakturováno</v>
      </c>
      <c r="N210" s="11">
        <f t="shared" si="16"/>
        <v>0</v>
      </c>
      <c r="O210" s="11">
        <f>IF(G210&lt;&gt;0,N210/G210*100,-100)</f>
        <v>-100</v>
      </c>
      <c r="AE210" s="11">
        <v>0</v>
      </c>
    </row>
    <row r="211" spans="1:31" ht="12.75">
      <c r="A211" s="2" t="s">
        <v>180</v>
      </c>
      <c r="B211" s="2" t="s">
        <v>197</v>
      </c>
      <c r="C211" s="2" t="s">
        <v>384</v>
      </c>
      <c r="D211" s="87" t="s">
        <v>739</v>
      </c>
      <c r="E211" s="88"/>
      <c r="F211" s="10">
        <f>'Stavební rozpočet'!J382</f>
        <v>0</v>
      </c>
      <c r="G211" s="10">
        <v>0</v>
      </c>
      <c r="H211" s="10">
        <f>G211-F211</f>
        <v>0</v>
      </c>
      <c r="I211" s="10">
        <f>IF(F211=0,0,H211/F211*100)</f>
        <v>0</v>
      </c>
      <c r="J211" s="10">
        <f>'Stavební rozpočet'!F382</f>
        <v>0.68</v>
      </c>
      <c r="K211" s="10">
        <v>0</v>
      </c>
      <c r="L211" s="31">
        <v>0.67737</v>
      </c>
      <c r="M211" s="38" t="str">
        <f t="shared" si="15"/>
        <v>Nefakturováno</v>
      </c>
      <c r="N211" s="10">
        <f t="shared" si="16"/>
        <v>0</v>
      </c>
      <c r="O211" s="10">
        <f>IF(G211&lt;&gt;0,N211/G211*100,-100)</f>
        <v>-100</v>
      </c>
      <c r="AE211" s="10">
        <v>0</v>
      </c>
    </row>
    <row r="212" spans="1:31" ht="12.75">
      <c r="A212" s="8"/>
      <c r="B212" s="8" t="s">
        <v>197</v>
      </c>
      <c r="C212" s="8" t="s">
        <v>385</v>
      </c>
      <c r="D212" s="85" t="s">
        <v>740</v>
      </c>
      <c r="E212" s="86"/>
      <c r="F212" s="22">
        <f>SUM(F213:F214)</f>
        <v>0</v>
      </c>
      <c r="G212" s="22">
        <f>SUM(G213:G214)</f>
        <v>0</v>
      </c>
      <c r="H212" s="22">
        <f>G212-F212</f>
        <v>0</v>
      </c>
      <c r="I212" s="22">
        <f>IF(F212=0,0,H212/F212*100)</f>
        <v>0</v>
      </c>
      <c r="J212" s="22">
        <f>SUM(J213:J214)</f>
        <v>65.94</v>
      </c>
      <c r="K212" s="22">
        <f>SUM(K213:K214)</f>
        <v>0</v>
      </c>
      <c r="L212" s="35">
        <f>J212-K212</f>
        <v>65.94</v>
      </c>
      <c r="M212" s="37" t="str">
        <f t="shared" si="15"/>
        <v>Nefakturováno</v>
      </c>
      <c r="N212" s="22">
        <f t="shared" si="16"/>
        <v>0</v>
      </c>
      <c r="O212" s="22">
        <f>IF(G212&lt;&gt;0,N212/G212*100,-100)</f>
        <v>-100</v>
      </c>
      <c r="AE212" s="10">
        <v>0</v>
      </c>
    </row>
    <row r="213" spans="1:31" ht="12.75">
      <c r="A213" s="2" t="s">
        <v>181</v>
      </c>
      <c r="B213" s="2" t="s">
        <v>197</v>
      </c>
      <c r="C213" s="2" t="s">
        <v>386</v>
      </c>
      <c r="D213" s="87" t="s">
        <v>741</v>
      </c>
      <c r="E213" s="88"/>
      <c r="F213" s="10">
        <f>'Stavební rozpočet'!J384</f>
        <v>0</v>
      </c>
      <c r="G213" s="10">
        <v>0</v>
      </c>
      <c r="H213" s="10">
        <f>G213-F213</f>
        <v>0</v>
      </c>
      <c r="I213" s="10">
        <f>IF(F213=0,0,H213/F213*100)</f>
        <v>0</v>
      </c>
      <c r="J213" s="10">
        <f>'Stavební rozpočet'!F384</f>
        <v>63.14</v>
      </c>
      <c r="K213" s="10">
        <v>0</v>
      </c>
      <c r="L213" s="31">
        <v>63.14</v>
      </c>
      <c r="M213" s="38" t="str">
        <f t="shared" si="15"/>
        <v>Nefakturováno</v>
      </c>
      <c r="N213" s="10">
        <f t="shared" si="16"/>
        <v>0</v>
      </c>
      <c r="O213" s="10">
        <f>IF(G213&lt;&gt;0,N213/G213*100,-100)</f>
        <v>-100</v>
      </c>
      <c r="AE213" s="10">
        <v>0</v>
      </c>
    </row>
    <row r="214" spans="1:31" ht="12.75">
      <c r="A214" s="2" t="s">
        <v>182</v>
      </c>
      <c r="B214" s="2" t="s">
        <v>197</v>
      </c>
      <c r="C214" s="2" t="s">
        <v>387</v>
      </c>
      <c r="D214" s="87" t="s">
        <v>744</v>
      </c>
      <c r="E214" s="88"/>
      <c r="F214" s="10">
        <f>'Stavební rozpočet'!J387</f>
        <v>0</v>
      </c>
      <c r="G214" s="10">
        <v>0</v>
      </c>
      <c r="H214" s="10">
        <f>G214-F214</f>
        <v>0</v>
      </c>
      <c r="I214" s="10">
        <f>IF(F214=0,0,H214/F214*100)</f>
        <v>0</v>
      </c>
      <c r="J214" s="10">
        <f>'Stavební rozpočet'!F387</f>
        <v>2.8</v>
      </c>
      <c r="K214" s="10">
        <v>0</v>
      </c>
      <c r="L214" s="31">
        <v>2.8</v>
      </c>
      <c r="M214" s="38" t="str">
        <f t="shared" si="15"/>
        <v>Nefakturováno</v>
      </c>
      <c r="N214" s="10">
        <f t="shared" si="16"/>
        <v>0</v>
      </c>
      <c r="O214" s="10">
        <f>IF(G214&lt;&gt;0,N214/G214*100,-100)</f>
        <v>-100</v>
      </c>
      <c r="AE214" s="10">
        <v>0</v>
      </c>
    </row>
    <row r="215" spans="1:31" ht="12.75">
      <c r="A215" s="8"/>
      <c r="B215" s="8" t="s">
        <v>197</v>
      </c>
      <c r="C215" s="8" t="s">
        <v>388</v>
      </c>
      <c r="D215" s="85" t="s">
        <v>746</v>
      </c>
      <c r="E215" s="86"/>
      <c r="F215" s="22">
        <f>SUM(F216:F217)</f>
        <v>0</v>
      </c>
      <c r="G215" s="22">
        <f>SUM(G216:G217)</f>
        <v>0</v>
      </c>
      <c r="H215" s="22">
        <f>G215-F215</f>
        <v>0</v>
      </c>
      <c r="I215" s="22">
        <f>IF(F215=0,0,H215/F215*100)</f>
        <v>0</v>
      </c>
      <c r="J215" s="22">
        <f>SUM(J216:J217)</f>
        <v>243.66</v>
      </c>
      <c r="K215" s="22">
        <f>SUM(K216:K217)</f>
        <v>0</v>
      </c>
      <c r="L215" s="35">
        <f>J215-K215</f>
        <v>243.66</v>
      </c>
      <c r="M215" s="37" t="str">
        <f t="shared" si="15"/>
        <v>Nefakturováno</v>
      </c>
      <c r="N215" s="22">
        <f t="shared" si="16"/>
        <v>0</v>
      </c>
      <c r="O215" s="22">
        <f>IF(G215&lt;&gt;0,N215/G215*100,-100)</f>
        <v>-100</v>
      </c>
      <c r="AE215" s="10">
        <v>0</v>
      </c>
    </row>
    <row r="216" spans="1:31" ht="12.75">
      <c r="A216" s="2" t="s">
        <v>183</v>
      </c>
      <c r="B216" s="2" t="s">
        <v>197</v>
      </c>
      <c r="C216" s="2" t="s">
        <v>389</v>
      </c>
      <c r="D216" s="87" t="s">
        <v>747</v>
      </c>
      <c r="E216" s="88"/>
      <c r="F216" s="10">
        <f>'Stavební rozpočet'!J390</f>
        <v>0</v>
      </c>
      <c r="G216" s="10">
        <v>0</v>
      </c>
      <c r="H216" s="10">
        <f>G216-F216</f>
        <v>0</v>
      </c>
      <c r="I216" s="10">
        <f>IF(F216=0,0,H216/F216*100)</f>
        <v>0</v>
      </c>
      <c r="J216" s="10">
        <f>'Stavební rozpočet'!F390</f>
        <v>121.83</v>
      </c>
      <c r="K216" s="10">
        <v>0</v>
      </c>
      <c r="L216" s="31">
        <v>121.83</v>
      </c>
      <c r="M216" s="38" t="str">
        <f t="shared" si="15"/>
        <v>Nefakturováno</v>
      </c>
      <c r="N216" s="10">
        <f t="shared" si="16"/>
        <v>0</v>
      </c>
      <c r="O216" s="10">
        <f>IF(G216&lt;&gt;0,N216/G216*100,-100)</f>
        <v>-100</v>
      </c>
      <c r="AE216" s="10">
        <v>0</v>
      </c>
    </row>
    <row r="217" spans="1:31" ht="12.75">
      <c r="A217" s="2" t="s">
        <v>184</v>
      </c>
      <c r="B217" s="2" t="s">
        <v>197</v>
      </c>
      <c r="C217" s="2" t="s">
        <v>390</v>
      </c>
      <c r="D217" s="87" t="s">
        <v>753</v>
      </c>
      <c r="E217" s="88"/>
      <c r="F217" s="10">
        <f>'Stavební rozpočet'!J397</f>
        <v>0</v>
      </c>
      <c r="G217" s="10">
        <v>0</v>
      </c>
      <c r="H217" s="10">
        <f>G217-F217</f>
        <v>0</v>
      </c>
      <c r="I217" s="10">
        <f>IF(F217=0,0,H217/F217*100)</f>
        <v>0</v>
      </c>
      <c r="J217" s="10">
        <f>'Stavební rozpočet'!F397</f>
        <v>121.83</v>
      </c>
      <c r="K217" s="10">
        <v>0</v>
      </c>
      <c r="L217" s="31">
        <v>121.83</v>
      </c>
      <c r="M217" s="38" t="str">
        <f t="shared" si="15"/>
        <v>Nefakturováno</v>
      </c>
      <c r="N217" s="10">
        <f t="shared" si="16"/>
        <v>0</v>
      </c>
      <c r="O217" s="10">
        <f>IF(G217&lt;&gt;0,N217/G217*100,-100)</f>
        <v>-100</v>
      </c>
      <c r="AE217" s="10">
        <v>0</v>
      </c>
    </row>
    <row r="218" spans="1:31" ht="12.75">
      <c r="A218" s="8"/>
      <c r="B218" s="8" t="s">
        <v>197</v>
      </c>
      <c r="C218" s="8" t="s">
        <v>100</v>
      </c>
      <c r="D218" s="85" t="s">
        <v>754</v>
      </c>
      <c r="E218" s="86"/>
      <c r="F218" s="22">
        <f>SUM(F219:F219)</f>
        <v>0</v>
      </c>
      <c r="G218" s="22">
        <f>SUM(G219:G219)</f>
        <v>0</v>
      </c>
      <c r="H218" s="22">
        <f>G218-F218</f>
        <v>0</v>
      </c>
      <c r="I218" s="22">
        <f>IF(F218=0,0,H218/F218*100)</f>
        <v>0</v>
      </c>
      <c r="J218" s="22">
        <f>SUM(J219:J219)</f>
        <v>40</v>
      </c>
      <c r="K218" s="22">
        <f>SUM(K219:K219)</f>
        <v>0</v>
      </c>
      <c r="L218" s="35">
        <f>J218-K218</f>
        <v>40</v>
      </c>
      <c r="M218" s="37" t="str">
        <f t="shared" si="15"/>
        <v>Nefakturováno</v>
      </c>
      <c r="N218" s="22">
        <f t="shared" si="16"/>
        <v>0</v>
      </c>
      <c r="O218" s="22">
        <f>IF(G218&lt;&gt;0,N218/G218*100,-100)</f>
        <v>-100</v>
      </c>
      <c r="AE218" s="10">
        <v>0</v>
      </c>
    </row>
    <row r="219" spans="1:31" ht="12.75">
      <c r="A219" s="2" t="s">
        <v>185</v>
      </c>
      <c r="B219" s="2" t="s">
        <v>197</v>
      </c>
      <c r="C219" s="2" t="s">
        <v>391</v>
      </c>
      <c r="D219" s="87" t="s">
        <v>755</v>
      </c>
      <c r="E219" s="88"/>
      <c r="F219" s="10">
        <f>'Stavební rozpočet'!J399</f>
        <v>0</v>
      </c>
      <c r="G219" s="10">
        <v>0</v>
      </c>
      <c r="H219" s="10">
        <f>G219-F219</f>
        <v>0</v>
      </c>
      <c r="I219" s="10">
        <f>IF(F219=0,0,H219/F219*100)</f>
        <v>0</v>
      </c>
      <c r="J219" s="10">
        <f>'Stavební rozpočet'!F399</f>
        <v>40</v>
      </c>
      <c r="K219" s="10">
        <v>0</v>
      </c>
      <c r="L219" s="31">
        <v>40</v>
      </c>
      <c r="M219" s="38" t="str">
        <f t="shared" si="15"/>
        <v>Nefakturováno</v>
      </c>
      <c r="N219" s="10">
        <f t="shared" si="16"/>
        <v>0</v>
      </c>
      <c r="O219" s="10">
        <f>IF(G219&lt;&gt;0,N219/G219*100,-100)</f>
        <v>-100</v>
      </c>
      <c r="AE219" s="10">
        <v>0</v>
      </c>
    </row>
    <row r="220" spans="1:31" ht="12.75">
      <c r="A220" s="8"/>
      <c r="B220" s="8" t="s">
        <v>197</v>
      </c>
      <c r="C220" s="8" t="s">
        <v>101</v>
      </c>
      <c r="D220" s="85" t="s">
        <v>756</v>
      </c>
      <c r="E220" s="86"/>
      <c r="F220" s="22">
        <f>SUM(F221:F223)</f>
        <v>0</v>
      </c>
      <c r="G220" s="22">
        <f>SUM(G221:G223)</f>
        <v>0</v>
      </c>
      <c r="H220" s="22">
        <f>G220-F220</f>
        <v>0</v>
      </c>
      <c r="I220" s="22">
        <f>IF(F220=0,0,H220/F220*100)</f>
        <v>0</v>
      </c>
      <c r="J220" s="22">
        <f>SUM(J221:J223)</f>
        <v>42.4</v>
      </c>
      <c r="K220" s="22">
        <f>SUM(K221:K223)</f>
        <v>0</v>
      </c>
      <c r="L220" s="35">
        <f>J220-K220</f>
        <v>42.4</v>
      </c>
      <c r="M220" s="37" t="str">
        <f t="shared" si="15"/>
        <v>Nefakturováno</v>
      </c>
      <c r="N220" s="22">
        <f t="shared" si="16"/>
        <v>0</v>
      </c>
      <c r="O220" s="22">
        <f>IF(G220&lt;&gt;0,N220/G220*100,-100)</f>
        <v>-100</v>
      </c>
      <c r="AE220" s="10">
        <v>0</v>
      </c>
    </row>
    <row r="221" spans="1:31" ht="12.75">
      <c r="A221" s="2" t="s">
        <v>186</v>
      </c>
      <c r="B221" s="2" t="s">
        <v>197</v>
      </c>
      <c r="C221" s="2" t="s">
        <v>392</v>
      </c>
      <c r="D221" s="87" t="s">
        <v>757</v>
      </c>
      <c r="E221" s="88"/>
      <c r="F221" s="10">
        <f>'Stavební rozpočet'!J401</f>
        <v>0</v>
      </c>
      <c r="G221" s="10">
        <v>0</v>
      </c>
      <c r="H221" s="10">
        <f>G221-F221</f>
        <v>0</v>
      </c>
      <c r="I221" s="10">
        <f>IF(F221=0,0,H221/F221*100)</f>
        <v>0</v>
      </c>
      <c r="J221" s="10">
        <f>'Stavební rozpočet'!F401</f>
        <v>40.4</v>
      </c>
      <c r="K221" s="10">
        <v>0</v>
      </c>
      <c r="L221" s="31">
        <v>40.4</v>
      </c>
      <c r="M221" s="38" t="str">
        <f t="shared" si="15"/>
        <v>Nefakturováno</v>
      </c>
      <c r="N221" s="10">
        <f t="shared" si="16"/>
        <v>0</v>
      </c>
      <c r="O221" s="10">
        <f>IF(G221&lt;&gt;0,N221/G221*100,-100)</f>
        <v>-100</v>
      </c>
      <c r="AE221" s="10">
        <v>0</v>
      </c>
    </row>
    <row r="222" spans="1:31" ht="12.75">
      <c r="A222" s="2" t="s">
        <v>187</v>
      </c>
      <c r="B222" s="2" t="s">
        <v>197</v>
      </c>
      <c r="C222" s="2" t="s">
        <v>393</v>
      </c>
      <c r="D222" s="87" t="s">
        <v>758</v>
      </c>
      <c r="E222" s="88"/>
      <c r="F222" s="10">
        <f>'Stavební rozpočet'!J403</f>
        <v>0</v>
      </c>
      <c r="G222" s="10">
        <v>0</v>
      </c>
      <c r="H222" s="10">
        <f>G222-F222</f>
        <v>0</v>
      </c>
      <c r="I222" s="10">
        <f>IF(F222=0,0,H222/F222*100)</f>
        <v>0</v>
      </c>
      <c r="J222" s="10">
        <f>'Stavební rozpočet'!F403</f>
        <v>1</v>
      </c>
      <c r="K222" s="10">
        <v>0</v>
      </c>
      <c r="L222" s="31">
        <v>1</v>
      </c>
      <c r="M222" s="38" t="str">
        <f t="shared" si="15"/>
        <v>Nefakturováno</v>
      </c>
      <c r="N222" s="10">
        <f t="shared" si="16"/>
        <v>0</v>
      </c>
      <c r="O222" s="10">
        <f>IF(G222&lt;&gt;0,N222/G222*100,-100)</f>
        <v>-100</v>
      </c>
      <c r="AE222" s="10">
        <v>0</v>
      </c>
    </row>
    <row r="223" spans="1:31" ht="12.75">
      <c r="A223" s="3" t="s">
        <v>188</v>
      </c>
      <c r="B223" s="3" t="s">
        <v>197</v>
      </c>
      <c r="C223" s="3" t="s">
        <v>394</v>
      </c>
      <c r="D223" s="89" t="s">
        <v>759</v>
      </c>
      <c r="E223" s="90"/>
      <c r="F223" s="11">
        <f>'Stavební rozpočet'!J404</f>
        <v>0</v>
      </c>
      <c r="G223" s="11">
        <v>0</v>
      </c>
      <c r="H223" s="11">
        <f>G223-F223</f>
        <v>0</v>
      </c>
      <c r="I223" s="11">
        <f>IF(F223=0,0,H223/F223*100)</f>
        <v>0</v>
      </c>
      <c r="J223" s="11">
        <f>'Stavební rozpočet'!F404</f>
        <v>1</v>
      </c>
      <c r="K223" s="11">
        <v>0</v>
      </c>
      <c r="L223" s="32">
        <v>1</v>
      </c>
      <c r="M223" s="39" t="str">
        <f t="shared" si="15"/>
        <v>Nefakturováno</v>
      </c>
      <c r="N223" s="11">
        <f t="shared" si="16"/>
        <v>0</v>
      </c>
      <c r="O223" s="11">
        <f>IF(G223&lt;&gt;0,N223/G223*100,-100)</f>
        <v>-100</v>
      </c>
      <c r="AE223" s="11">
        <v>0</v>
      </c>
    </row>
    <row r="224" spans="1:31" ht="12.75">
      <c r="A224" s="8"/>
      <c r="B224" s="8" t="s">
        <v>197</v>
      </c>
      <c r="C224" s="8" t="s">
        <v>395</v>
      </c>
      <c r="D224" s="85" t="s">
        <v>760</v>
      </c>
      <c r="E224" s="86"/>
      <c r="F224" s="22">
        <f>SUM(F225:F225)</f>
        <v>0</v>
      </c>
      <c r="G224" s="22">
        <f>SUM(G225:G225)</f>
        <v>0</v>
      </c>
      <c r="H224" s="22">
        <f>G224-F224</f>
        <v>0</v>
      </c>
      <c r="I224" s="22">
        <f>IF(F224=0,0,H224/F224*100)</f>
        <v>0</v>
      </c>
      <c r="J224" s="22">
        <f>SUM(J225:J225)</f>
        <v>74.21</v>
      </c>
      <c r="K224" s="22">
        <f>SUM(K225:K225)</f>
        <v>0</v>
      </c>
      <c r="L224" s="35">
        <f>J224-K224</f>
        <v>74.21</v>
      </c>
      <c r="M224" s="37" t="str">
        <f t="shared" si="15"/>
        <v>Nefakturováno</v>
      </c>
      <c r="N224" s="22">
        <f t="shared" si="16"/>
        <v>0</v>
      </c>
      <c r="O224" s="22">
        <f>IF(G224&lt;&gt;0,N224/G224*100,-100)</f>
        <v>-100</v>
      </c>
      <c r="AE224" s="11">
        <v>0</v>
      </c>
    </row>
    <row r="225" spans="1:31" ht="12.75">
      <c r="A225" s="2" t="s">
        <v>189</v>
      </c>
      <c r="B225" s="2" t="s">
        <v>197</v>
      </c>
      <c r="C225" s="2" t="s">
        <v>396</v>
      </c>
      <c r="D225" s="87" t="s">
        <v>761</v>
      </c>
      <c r="E225" s="88"/>
      <c r="F225" s="10">
        <f>'Stavební rozpočet'!J406</f>
        <v>0</v>
      </c>
      <c r="G225" s="10">
        <v>0</v>
      </c>
      <c r="H225" s="10">
        <f>G225-F225</f>
        <v>0</v>
      </c>
      <c r="I225" s="10">
        <f>IF(F225=0,0,H225/F225*100)</f>
        <v>0</v>
      </c>
      <c r="J225" s="10">
        <f>'Stavební rozpočet'!F406</f>
        <v>74.21</v>
      </c>
      <c r="K225" s="10">
        <v>0</v>
      </c>
      <c r="L225" s="31">
        <v>74.211</v>
      </c>
      <c r="M225" s="38" t="str">
        <f t="shared" si="15"/>
        <v>Nefakturováno</v>
      </c>
      <c r="N225" s="10">
        <f t="shared" si="16"/>
        <v>0</v>
      </c>
      <c r="O225" s="10">
        <f>IF(G225&lt;&gt;0,N225/G225*100,-100)</f>
        <v>-100</v>
      </c>
      <c r="AE225" s="10">
        <v>0</v>
      </c>
    </row>
    <row r="226" spans="1:31" ht="12.75">
      <c r="A226" s="8"/>
      <c r="B226" s="8" t="s">
        <v>197</v>
      </c>
      <c r="C226" s="8" t="s">
        <v>397</v>
      </c>
      <c r="D226" s="85" t="s">
        <v>762</v>
      </c>
      <c r="E226" s="86"/>
      <c r="F226" s="22">
        <f>SUM(F227:F231)</f>
        <v>0</v>
      </c>
      <c r="G226" s="22">
        <f>SUM(G227:G231)</f>
        <v>0</v>
      </c>
      <c r="H226" s="22">
        <f>G226-F226</f>
        <v>0</v>
      </c>
      <c r="I226" s="22">
        <f>IF(F226=0,0,H226/F226*100)</f>
        <v>0</v>
      </c>
      <c r="J226" s="22">
        <f>SUM(J227:J231)</f>
        <v>67.25</v>
      </c>
      <c r="K226" s="22">
        <f>SUM(K227:K231)</f>
        <v>0</v>
      </c>
      <c r="L226" s="35">
        <f>J226-K226</f>
        <v>67.25</v>
      </c>
      <c r="M226" s="37" t="str">
        <f t="shared" si="15"/>
        <v>Nefakturováno</v>
      </c>
      <c r="N226" s="22">
        <f t="shared" si="16"/>
        <v>0</v>
      </c>
      <c r="O226" s="22">
        <f>IF(G226&lt;&gt;0,N226/G226*100,-100)</f>
        <v>-100</v>
      </c>
      <c r="AE226" s="10">
        <v>0</v>
      </c>
    </row>
    <row r="227" spans="1:31" ht="12.75">
      <c r="A227" s="2" t="s">
        <v>190</v>
      </c>
      <c r="B227" s="2" t="s">
        <v>197</v>
      </c>
      <c r="C227" s="2" t="s">
        <v>398</v>
      </c>
      <c r="D227" s="87" t="s">
        <v>763</v>
      </c>
      <c r="E227" s="88"/>
      <c r="F227" s="10">
        <f>'Stavební rozpočet'!J408</f>
        <v>0</v>
      </c>
      <c r="G227" s="10">
        <v>0</v>
      </c>
      <c r="H227" s="10">
        <f>G227-F227</f>
        <v>0</v>
      </c>
      <c r="I227" s="10">
        <f>IF(F227=0,0,H227/F227*100)</f>
        <v>0</v>
      </c>
      <c r="J227" s="10">
        <f>'Stavební rozpočet'!F408</f>
        <v>26.15</v>
      </c>
      <c r="K227" s="10">
        <v>0</v>
      </c>
      <c r="L227" s="31">
        <v>26.15</v>
      </c>
      <c r="M227" s="38" t="str">
        <f t="shared" si="15"/>
        <v>Nefakturováno</v>
      </c>
      <c r="N227" s="10">
        <f t="shared" si="16"/>
        <v>0</v>
      </c>
      <c r="O227" s="10">
        <f>IF(G227&lt;&gt;0,N227/G227*100,-100)</f>
        <v>-100</v>
      </c>
      <c r="AE227" s="10">
        <v>0</v>
      </c>
    </row>
    <row r="228" spans="1:31" ht="12.75">
      <c r="A228" s="2" t="s">
        <v>191</v>
      </c>
      <c r="B228" s="2" t="s">
        <v>197</v>
      </c>
      <c r="C228" s="2" t="s">
        <v>399</v>
      </c>
      <c r="D228" s="87" t="s">
        <v>765</v>
      </c>
      <c r="E228" s="88"/>
      <c r="F228" s="10">
        <f>'Stavební rozpočet'!J410</f>
        <v>0</v>
      </c>
      <c r="G228" s="10">
        <v>0</v>
      </c>
      <c r="H228" s="10">
        <f>G228-F228</f>
        <v>0</v>
      </c>
      <c r="I228" s="10">
        <f>IF(F228=0,0,H228/F228*100)</f>
        <v>0</v>
      </c>
      <c r="J228" s="10">
        <f>'Stavební rozpočet'!F410</f>
        <v>11.2</v>
      </c>
      <c r="K228" s="10">
        <v>0</v>
      </c>
      <c r="L228" s="31">
        <v>11.2</v>
      </c>
      <c r="M228" s="38" t="str">
        <f t="shared" si="15"/>
        <v>Nefakturováno</v>
      </c>
      <c r="N228" s="10">
        <f t="shared" si="16"/>
        <v>0</v>
      </c>
      <c r="O228" s="10">
        <f>IF(G228&lt;&gt;0,N228/G228*100,-100)</f>
        <v>-100</v>
      </c>
      <c r="AE228" s="10">
        <v>0</v>
      </c>
    </row>
    <row r="229" spans="1:31" ht="12.75">
      <c r="A229" s="2" t="s">
        <v>192</v>
      </c>
      <c r="B229" s="2" t="s">
        <v>197</v>
      </c>
      <c r="C229" s="2" t="s">
        <v>400</v>
      </c>
      <c r="D229" s="87" t="s">
        <v>767</v>
      </c>
      <c r="E229" s="88"/>
      <c r="F229" s="10">
        <f>'Stavební rozpočet'!J412</f>
        <v>0</v>
      </c>
      <c r="G229" s="10">
        <v>0</v>
      </c>
      <c r="H229" s="10">
        <f>G229-F229</f>
        <v>0</v>
      </c>
      <c r="I229" s="10">
        <f>IF(F229=0,0,H229/F229*100)</f>
        <v>0</v>
      </c>
      <c r="J229" s="10">
        <f>'Stavební rozpočet'!F412</f>
        <v>4</v>
      </c>
      <c r="K229" s="10">
        <v>0</v>
      </c>
      <c r="L229" s="31">
        <v>4</v>
      </c>
      <c r="M229" s="38" t="str">
        <f t="shared" si="15"/>
        <v>Nefakturováno</v>
      </c>
      <c r="N229" s="10">
        <f t="shared" si="16"/>
        <v>0</v>
      </c>
      <c r="O229" s="10">
        <f>IF(G229&lt;&gt;0,N229/G229*100,-100)</f>
        <v>-100</v>
      </c>
      <c r="AE229" s="10">
        <v>0</v>
      </c>
    </row>
    <row r="230" spans="1:31" ht="12.75">
      <c r="A230" s="2" t="s">
        <v>193</v>
      </c>
      <c r="B230" s="2" t="s">
        <v>197</v>
      </c>
      <c r="C230" s="2" t="s">
        <v>401</v>
      </c>
      <c r="D230" s="87" t="s">
        <v>768</v>
      </c>
      <c r="E230" s="88"/>
      <c r="F230" s="10">
        <f>'Stavební rozpočet'!J413</f>
        <v>0</v>
      </c>
      <c r="G230" s="10">
        <v>0</v>
      </c>
      <c r="H230" s="10">
        <f>G230-F230</f>
        <v>0</v>
      </c>
      <c r="I230" s="10">
        <f>IF(F230=0,0,H230/F230*100)</f>
        <v>0</v>
      </c>
      <c r="J230" s="10">
        <f>'Stavební rozpočet'!F413</f>
        <v>24.9</v>
      </c>
      <c r="K230" s="10">
        <v>0</v>
      </c>
      <c r="L230" s="31">
        <v>24.9</v>
      </c>
      <c r="M230" s="38" t="str">
        <f t="shared" si="15"/>
        <v>Nefakturováno</v>
      </c>
      <c r="N230" s="10">
        <f t="shared" si="16"/>
        <v>0</v>
      </c>
      <c r="O230" s="10">
        <f>IF(G230&lt;&gt;0,N230/G230*100,-100)</f>
        <v>-100</v>
      </c>
      <c r="AE230" s="10">
        <v>0</v>
      </c>
    </row>
    <row r="231" spans="1:31" ht="12.75">
      <c r="A231" s="2" t="s">
        <v>194</v>
      </c>
      <c r="B231" s="2" t="s">
        <v>197</v>
      </c>
      <c r="C231" s="2" t="s">
        <v>402</v>
      </c>
      <c r="D231" s="87" t="s">
        <v>769</v>
      </c>
      <c r="E231" s="88"/>
      <c r="F231" s="10">
        <f>'Stavební rozpočet'!J414</f>
        <v>0</v>
      </c>
      <c r="G231" s="10">
        <v>0</v>
      </c>
      <c r="H231" s="10">
        <f>G231-F231</f>
        <v>0</v>
      </c>
      <c r="I231" s="10">
        <f>IF(F231=0,0,H231/F231*100)</f>
        <v>0</v>
      </c>
      <c r="J231" s="10">
        <f>'Stavební rozpočet'!F414</f>
        <v>1</v>
      </c>
      <c r="K231" s="10">
        <v>0</v>
      </c>
      <c r="L231" s="31">
        <v>1</v>
      </c>
      <c r="M231" s="38" t="str">
        <f t="shared" si="15"/>
        <v>Nefakturováno</v>
      </c>
      <c r="N231" s="10">
        <f t="shared" si="16"/>
        <v>0</v>
      </c>
      <c r="O231" s="10">
        <f>IF(G231&lt;&gt;0,N231/G231*100,-100)</f>
        <v>-100</v>
      </c>
      <c r="AE231" s="10">
        <v>0</v>
      </c>
    </row>
    <row r="233" ht="11.25" customHeight="1">
      <c r="A233" s="5" t="s">
        <v>195</v>
      </c>
    </row>
    <row r="234" spans="1:10" ht="12.75">
      <c r="A234" s="69"/>
      <c r="B234" s="61"/>
      <c r="C234" s="61"/>
      <c r="D234" s="61"/>
      <c r="E234" s="61"/>
      <c r="F234" s="61"/>
      <c r="G234" s="61"/>
      <c r="H234" s="61"/>
      <c r="I234" s="61"/>
      <c r="J234" s="61"/>
    </row>
  </sheetData>
  <sheetProtection/>
  <mergeCells count="248">
    <mergeCell ref="A234:J234"/>
    <mergeCell ref="D226:E226"/>
    <mergeCell ref="D227:E227"/>
    <mergeCell ref="D228:E228"/>
    <mergeCell ref="D229:E229"/>
    <mergeCell ref="D230:E230"/>
    <mergeCell ref="D231:E231"/>
    <mergeCell ref="D220:E220"/>
    <mergeCell ref="D221:E221"/>
    <mergeCell ref="D222:E222"/>
    <mergeCell ref="D223:E223"/>
    <mergeCell ref="D224:E224"/>
    <mergeCell ref="D225:E225"/>
    <mergeCell ref="D214:E214"/>
    <mergeCell ref="D215:E215"/>
    <mergeCell ref="D216:E216"/>
    <mergeCell ref="D217:E217"/>
    <mergeCell ref="D218:E218"/>
    <mergeCell ref="D219:E219"/>
    <mergeCell ref="D208:E208"/>
    <mergeCell ref="D209:E209"/>
    <mergeCell ref="D210:E210"/>
    <mergeCell ref="D211:E211"/>
    <mergeCell ref="D212:E212"/>
    <mergeCell ref="D213:E213"/>
    <mergeCell ref="D202:E202"/>
    <mergeCell ref="D203:E203"/>
    <mergeCell ref="D204:E204"/>
    <mergeCell ref="D205:E205"/>
    <mergeCell ref="D206:E206"/>
    <mergeCell ref="D207:E207"/>
    <mergeCell ref="D196:E196"/>
    <mergeCell ref="D197:E197"/>
    <mergeCell ref="D198:E198"/>
    <mergeCell ref="D199:E199"/>
    <mergeCell ref="D200:E200"/>
    <mergeCell ref="D201:E201"/>
    <mergeCell ref="D190:E190"/>
    <mergeCell ref="D191:E191"/>
    <mergeCell ref="D192:E192"/>
    <mergeCell ref="D193:E193"/>
    <mergeCell ref="D194:E194"/>
    <mergeCell ref="D195:E195"/>
    <mergeCell ref="D184:E184"/>
    <mergeCell ref="D185:E185"/>
    <mergeCell ref="D186:E186"/>
    <mergeCell ref="D187:E187"/>
    <mergeCell ref="D188:E188"/>
    <mergeCell ref="D189:E189"/>
    <mergeCell ref="D178:E178"/>
    <mergeCell ref="D179:E179"/>
    <mergeCell ref="D180:E180"/>
    <mergeCell ref="D181:E181"/>
    <mergeCell ref="D182:E182"/>
    <mergeCell ref="D183:E183"/>
    <mergeCell ref="D172:E172"/>
    <mergeCell ref="D173:E173"/>
    <mergeCell ref="D174:E174"/>
    <mergeCell ref="D175:E175"/>
    <mergeCell ref="D176:E176"/>
    <mergeCell ref="D177:E177"/>
    <mergeCell ref="D166:E166"/>
    <mergeCell ref="D167:E167"/>
    <mergeCell ref="D168:E168"/>
    <mergeCell ref="D169:E169"/>
    <mergeCell ref="D170:E170"/>
    <mergeCell ref="D171:E171"/>
    <mergeCell ref="D160:E160"/>
    <mergeCell ref="D161:E161"/>
    <mergeCell ref="D162:E162"/>
    <mergeCell ref="D163:E163"/>
    <mergeCell ref="D164:E164"/>
    <mergeCell ref="D165:E165"/>
    <mergeCell ref="D154:E154"/>
    <mergeCell ref="D155:E155"/>
    <mergeCell ref="D156:E156"/>
    <mergeCell ref="D157:E157"/>
    <mergeCell ref="D158:E158"/>
    <mergeCell ref="D159:E159"/>
    <mergeCell ref="D148:E148"/>
    <mergeCell ref="D149:E149"/>
    <mergeCell ref="D150:E150"/>
    <mergeCell ref="D151:E151"/>
    <mergeCell ref="D152:E152"/>
    <mergeCell ref="D153:E153"/>
    <mergeCell ref="D142:E142"/>
    <mergeCell ref="D143:E143"/>
    <mergeCell ref="D144:E144"/>
    <mergeCell ref="D145:E145"/>
    <mergeCell ref="D146:E146"/>
    <mergeCell ref="D147:E147"/>
    <mergeCell ref="D136:E136"/>
    <mergeCell ref="D137:E137"/>
    <mergeCell ref="D138:E138"/>
    <mergeCell ref="D139:E139"/>
    <mergeCell ref="D140:E140"/>
    <mergeCell ref="D141:E141"/>
    <mergeCell ref="D130:E130"/>
    <mergeCell ref="D131:E131"/>
    <mergeCell ref="D132:E132"/>
    <mergeCell ref="D133:E133"/>
    <mergeCell ref="D134:E134"/>
    <mergeCell ref="D135:E135"/>
    <mergeCell ref="D124:E124"/>
    <mergeCell ref="D125:E125"/>
    <mergeCell ref="D126:E126"/>
    <mergeCell ref="D127:E127"/>
    <mergeCell ref="D128:E128"/>
    <mergeCell ref="D129:E129"/>
    <mergeCell ref="D118:E118"/>
    <mergeCell ref="D119:E119"/>
    <mergeCell ref="D120:E120"/>
    <mergeCell ref="D121:E121"/>
    <mergeCell ref="D122:E122"/>
    <mergeCell ref="D123:E123"/>
    <mergeCell ref="D112:E112"/>
    <mergeCell ref="D113:E113"/>
    <mergeCell ref="D114:E114"/>
    <mergeCell ref="D115:E115"/>
    <mergeCell ref="D116:E116"/>
    <mergeCell ref="D117:E117"/>
    <mergeCell ref="D106:E106"/>
    <mergeCell ref="D107:E107"/>
    <mergeCell ref="D108:E108"/>
    <mergeCell ref="D109:E109"/>
    <mergeCell ref="D110:E110"/>
    <mergeCell ref="D111:E111"/>
    <mergeCell ref="D100:E100"/>
    <mergeCell ref="D101:E101"/>
    <mergeCell ref="D102:E102"/>
    <mergeCell ref="D103:E103"/>
    <mergeCell ref="D104:E104"/>
    <mergeCell ref="D105:E105"/>
    <mergeCell ref="D94:E94"/>
    <mergeCell ref="D95:E95"/>
    <mergeCell ref="D96:E96"/>
    <mergeCell ref="D97:E97"/>
    <mergeCell ref="D98:E98"/>
    <mergeCell ref="D99:E99"/>
    <mergeCell ref="D88:E88"/>
    <mergeCell ref="D89:E89"/>
    <mergeCell ref="D90:E90"/>
    <mergeCell ref="D91:E91"/>
    <mergeCell ref="D92:E92"/>
    <mergeCell ref="D93:E93"/>
    <mergeCell ref="D82:E82"/>
    <mergeCell ref="D83:E83"/>
    <mergeCell ref="D84:E84"/>
    <mergeCell ref="D85:E85"/>
    <mergeCell ref="D86:E86"/>
    <mergeCell ref="D87:E87"/>
    <mergeCell ref="D76:E76"/>
    <mergeCell ref="D77:E77"/>
    <mergeCell ref="D78:E78"/>
    <mergeCell ref="D79:E79"/>
    <mergeCell ref="D80:E80"/>
    <mergeCell ref="D81:E81"/>
    <mergeCell ref="D70:E70"/>
    <mergeCell ref="D71:E71"/>
    <mergeCell ref="D72:E72"/>
    <mergeCell ref="D73:E73"/>
    <mergeCell ref="D74:E74"/>
    <mergeCell ref="D75:E75"/>
    <mergeCell ref="D64:E64"/>
    <mergeCell ref="D65:E65"/>
    <mergeCell ref="D66:E66"/>
    <mergeCell ref="D67:E67"/>
    <mergeCell ref="D68:E68"/>
    <mergeCell ref="D69:E69"/>
    <mergeCell ref="D58:E58"/>
    <mergeCell ref="D59:E59"/>
    <mergeCell ref="D60:E60"/>
    <mergeCell ref="D61:E61"/>
    <mergeCell ref="D62:E62"/>
    <mergeCell ref="D63:E63"/>
    <mergeCell ref="D52:E52"/>
    <mergeCell ref="D53:E53"/>
    <mergeCell ref="D54:E54"/>
    <mergeCell ref="D55:E55"/>
    <mergeCell ref="D56:E56"/>
    <mergeCell ref="D57:E57"/>
    <mergeCell ref="D46:E46"/>
    <mergeCell ref="D47:E47"/>
    <mergeCell ref="D48:E48"/>
    <mergeCell ref="D49:E49"/>
    <mergeCell ref="D50:E50"/>
    <mergeCell ref="D51:E51"/>
    <mergeCell ref="D40:E40"/>
    <mergeCell ref="D41:E41"/>
    <mergeCell ref="D42:E42"/>
    <mergeCell ref="D43:E43"/>
    <mergeCell ref="D44:E44"/>
    <mergeCell ref="D45:E45"/>
    <mergeCell ref="D34:E34"/>
    <mergeCell ref="D35:E35"/>
    <mergeCell ref="D36:E36"/>
    <mergeCell ref="D37:E37"/>
    <mergeCell ref="D38:E38"/>
    <mergeCell ref="D39:E39"/>
    <mergeCell ref="D28:E28"/>
    <mergeCell ref="D29:E29"/>
    <mergeCell ref="D30:E30"/>
    <mergeCell ref="D31:E31"/>
    <mergeCell ref="D32:E32"/>
    <mergeCell ref="D33:E33"/>
    <mergeCell ref="D22:E22"/>
    <mergeCell ref="D23:E23"/>
    <mergeCell ref="D24:E24"/>
    <mergeCell ref="D25:E25"/>
    <mergeCell ref="D26:E26"/>
    <mergeCell ref="D27:E27"/>
    <mergeCell ref="D16:E16"/>
    <mergeCell ref="D17:E17"/>
    <mergeCell ref="D18:E18"/>
    <mergeCell ref="D19:E19"/>
    <mergeCell ref="D20:E20"/>
    <mergeCell ref="D21:E21"/>
    <mergeCell ref="D10:E10"/>
    <mergeCell ref="D11:E11"/>
    <mergeCell ref="D12:E12"/>
    <mergeCell ref="D13:E13"/>
    <mergeCell ref="D14:E14"/>
    <mergeCell ref="D15:E15"/>
    <mergeCell ref="A8:A9"/>
    <mergeCell ref="B8:D9"/>
    <mergeCell ref="E8:E9"/>
    <mergeCell ref="F8:F9"/>
    <mergeCell ref="G8:G9"/>
    <mergeCell ref="H8:O9"/>
    <mergeCell ref="A6:A7"/>
    <mergeCell ref="B6:D7"/>
    <mergeCell ref="E6:E7"/>
    <mergeCell ref="F6:F7"/>
    <mergeCell ref="G6:G7"/>
    <mergeCell ref="H6:O7"/>
    <mergeCell ref="A4:A5"/>
    <mergeCell ref="B4:D5"/>
    <mergeCell ref="E4:E5"/>
    <mergeCell ref="F4:F5"/>
    <mergeCell ref="G4:G5"/>
    <mergeCell ref="H4:O5"/>
    <mergeCell ref="A1:O1"/>
    <mergeCell ref="A2:A3"/>
    <mergeCell ref="B2:D3"/>
    <mergeCell ref="E2:E3"/>
    <mergeCell ref="F2:F3"/>
    <mergeCell ref="G2:G3"/>
    <mergeCell ref="H2:O3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55"/>
      <c r="B1" s="40"/>
      <c r="C1" s="91" t="s">
        <v>899</v>
      </c>
      <c r="D1" s="57"/>
      <c r="E1" s="57"/>
      <c r="F1" s="57"/>
      <c r="G1" s="57"/>
      <c r="H1" s="57"/>
      <c r="I1" s="57"/>
    </row>
    <row r="2" spans="1:10" ht="12.75">
      <c r="A2" s="58" t="s">
        <v>1</v>
      </c>
      <c r="B2" s="59"/>
      <c r="C2" s="62" t="str">
        <f>'Stavební rozpočet'!D2</f>
        <v>Objekt zázemí,pergoly a přemíst. podia v areálu HZ Michálkovice</v>
      </c>
      <c r="D2" s="77"/>
      <c r="E2" s="65" t="s">
        <v>792</v>
      </c>
      <c r="F2" s="65" t="str">
        <f>'Stavební rozpočet'!J2</f>
        <v>MO Michálkovice, ČA 325/106, Ostrava</v>
      </c>
      <c r="G2" s="59"/>
      <c r="H2" s="65" t="s">
        <v>924</v>
      </c>
      <c r="I2" s="92"/>
      <c r="J2" s="17"/>
    </row>
    <row r="3" spans="1:10" ht="12.75">
      <c r="A3" s="60"/>
      <c r="B3" s="61"/>
      <c r="C3" s="63"/>
      <c r="D3" s="63"/>
      <c r="E3" s="61"/>
      <c r="F3" s="61"/>
      <c r="G3" s="61"/>
      <c r="H3" s="61"/>
      <c r="I3" s="67"/>
      <c r="J3" s="17"/>
    </row>
    <row r="4" spans="1:10" ht="12.75">
      <c r="A4" s="68" t="s">
        <v>2</v>
      </c>
      <c r="B4" s="61"/>
      <c r="C4" s="69" t="str">
        <f>'Stavební rozpočet'!D4</f>
        <v>Novostavba -SO 01 Zázemí, bufet</v>
      </c>
      <c r="D4" s="61"/>
      <c r="E4" s="69" t="s">
        <v>793</v>
      </c>
      <c r="F4" s="69" t="str">
        <f>'Stavební rozpočet'!J4</f>
        <v> </v>
      </c>
      <c r="G4" s="61"/>
      <c r="H4" s="69" t="s">
        <v>924</v>
      </c>
      <c r="I4" s="93"/>
      <c r="J4" s="17"/>
    </row>
    <row r="5" spans="1:10" ht="12.75">
      <c r="A5" s="60"/>
      <c r="B5" s="61"/>
      <c r="C5" s="61"/>
      <c r="D5" s="61"/>
      <c r="E5" s="61"/>
      <c r="F5" s="61"/>
      <c r="G5" s="61"/>
      <c r="H5" s="61"/>
      <c r="I5" s="67"/>
      <c r="J5" s="17"/>
    </row>
    <row r="6" spans="1:10" ht="12.75">
      <c r="A6" s="68" t="s">
        <v>3</v>
      </c>
      <c r="B6" s="61"/>
      <c r="C6" s="69" t="str">
        <f>'Stavební rozpočet'!D6</f>
        <v>Ostrava-Michálkovice</v>
      </c>
      <c r="D6" s="61"/>
      <c r="E6" s="69" t="s">
        <v>794</v>
      </c>
      <c r="F6" s="69" t="str">
        <f>'Stavební rozpočet'!J6</f>
        <v> </v>
      </c>
      <c r="G6" s="61"/>
      <c r="H6" s="69" t="s">
        <v>924</v>
      </c>
      <c r="I6" s="93"/>
      <c r="J6" s="17"/>
    </row>
    <row r="7" spans="1:10" ht="12.75">
      <c r="A7" s="60"/>
      <c r="B7" s="61"/>
      <c r="C7" s="61"/>
      <c r="D7" s="61"/>
      <c r="E7" s="61"/>
      <c r="F7" s="61"/>
      <c r="G7" s="61"/>
      <c r="H7" s="61"/>
      <c r="I7" s="67"/>
      <c r="J7" s="17"/>
    </row>
    <row r="8" spans="1:10" ht="12.75">
      <c r="A8" s="68" t="s">
        <v>771</v>
      </c>
      <c r="B8" s="61"/>
      <c r="C8" s="69" t="str">
        <f>'Stavební rozpočet'!G4</f>
        <v> </v>
      </c>
      <c r="D8" s="61"/>
      <c r="E8" s="69" t="s">
        <v>772</v>
      </c>
      <c r="F8" s="69" t="str">
        <f>'Stavební rozpočet'!G6</f>
        <v> </v>
      </c>
      <c r="G8" s="61"/>
      <c r="H8" s="70" t="s">
        <v>925</v>
      </c>
      <c r="I8" s="93" t="s">
        <v>194</v>
      </c>
      <c r="J8" s="17"/>
    </row>
    <row r="9" spans="1:10" ht="12.75">
      <c r="A9" s="60"/>
      <c r="B9" s="61"/>
      <c r="C9" s="61"/>
      <c r="D9" s="61"/>
      <c r="E9" s="61"/>
      <c r="F9" s="61"/>
      <c r="G9" s="61"/>
      <c r="H9" s="61"/>
      <c r="I9" s="67"/>
      <c r="J9" s="17"/>
    </row>
    <row r="10" spans="1:10" ht="12.75">
      <c r="A10" s="68" t="s">
        <v>4</v>
      </c>
      <c r="B10" s="61"/>
      <c r="C10" s="69" t="str">
        <f>'Stavební rozpočet'!D8</f>
        <v> </v>
      </c>
      <c r="D10" s="61"/>
      <c r="E10" s="69" t="s">
        <v>795</v>
      </c>
      <c r="F10" s="69" t="str">
        <f>'Stavební rozpočet'!J8</f>
        <v>R.Šípek</v>
      </c>
      <c r="G10" s="61"/>
      <c r="H10" s="70" t="s">
        <v>926</v>
      </c>
      <c r="I10" s="96" t="str">
        <f>'Stavební rozpočet'!G8</f>
        <v>01.06.2018</v>
      </c>
      <c r="J10" s="17"/>
    </row>
    <row r="11" spans="1:10" ht="12.75">
      <c r="A11" s="94"/>
      <c r="B11" s="95"/>
      <c r="C11" s="95"/>
      <c r="D11" s="95"/>
      <c r="E11" s="95"/>
      <c r="F11" s="95"/>
      <c r="G11" s="95"/>
      <c r="H11" s="95"/>
      <c r="I11" s="97"/>
      <c r="J11" s="17"/>
    </row>
    <row r="12" spans="1:9" ht="23.25" customHeight="1">
      <c r="A12" s="98" t="s">
        <v>884</v>
      </c>
      <c r="B12" s="99"/>
      <c r="C12" s="99"/>
      <c r="D12" s="99"/>
      <c r="E12" s="99"/>
      <c r="F12" s="99"/>
      <c r="G12" s="99"/>
      <c r="H12" s="99"/>
      <c r="I12" s="99"/>
    </row>
    <row r="13" spans="1:10" ht="26.25" customHeight="1">
      <c r="A13" s="41" t="s">
        <v>885</v>
      </c>
      <c r="B13" s="100" t="s">
        <v>897</v>
      </c>
      <c r="C13" s="101"/>
      <c r="D13" s="41" t="s">
        <v>900</v>
      </c>
      <c r="E13" s="100" t="s">
        <v>909</v>
      </c>
      <c r="F13" s="101"/>
      <c r="G13" s="41" t="s">
        <v>910</v>
      </c>
      <c r="H13" s="100" t="s">
        <v>927</v>
      </c>
      <c r="I13" s="101"/>
      <c r="J13" s="17"/>
    </row>
    <row r="14" spans="1:10" ht="15" customHeight="1">
      <c r="A14" s="42" t="s">
        <v>886</v>
      </c>
      <c r="B14" s="45" t="s">
        <v>898</v>
      </c>
      <c r="C14" s="48">
        <f>SUM('Stavební rozpočet'!R12:R414)</f>
        <v>0</v>
      </c>
      <c r="D14" s="102" t="s">
        <v>901</v>
      </c>
      <c r="E14" s="103"/>
      <c r="F14" s="48">
        <v>0</v>
      </c>
      <c r="G14" s="102" t="s">
        <v>911</v>
      </c>
      <c r="H14" s="103"/>
      <c r="I14" s="48">
        <v>0</v>
      </c>
      <c r="J14" s="17"/>
    </row>
    <row r="15" spans="1:10" ht="15" customHeight="1">
      <c r="A15" s="43"/>
      <c r="B15" s="45" t="s">
        <v>796</v>
      </c>
      <c r="C15" s="48">
        <f>SUM('Stavební rozpočet'!S12:S414)</f>
        <v>0</v>
      </c>
      <c r="D15" s="102" t="s">
        <v>902</v>
      </c>
      <c r="E15" s="103"/>
      <c r="F15" s="48">
        <v>0</v>
      </c>
      <c r="G15" s="102" t="s">
        <v>912</v>
      </c>
      <c r="H15" s="103"/>
      <c r="I15" s="48">
        <v>0</v>
      </c>
      <c r="J15" s="17"/>
    </row>
    <row r="16" spans="1:10" ht="15" customHeight="1">
      <c r="A16" s="42" t="s">
        <v>887</v>
      </c>
      <c r="B16" s="45" t="s">
        <v>898</v>
      </c>
      <c r="C16" s="48">
        <f>SUM('Stavební rozpočet'!T12:T414)</f>
        <v>0</v>
      </c>
      <c r="D16" s="102" t="s">
        <v>903</v>
      </c>
      <c r="E16" s="103"/>
      <c r="F16" s="48">
        <v>0</v>
      </c>
      <c r="G16" s="102" t="s">
        <v>913</v>
      </c>
      <c r="H16" s="103"/>
      <c r="I16" s="48">
        <v>0</v>
      </c>
      <c r="J16" s="17"/>
    </row>
    <row r="17" spans="1:10" ht="15" customHeight="1">
      <c r="A17" s="43"/>
      <c r="B17" s="45" t="s">
        <v>796</v>
      </c>
      <c r="C17" s="48">
        <f>SUM('Stavební rozpočet'!U12:U414)</f>
        <v>0</v>
      </c>
      <c r="D17" s="102"/>
      <c r="E17" s="103"/>
      <c r="F17" s="49"/>
      <c r="G17" s="102" t="s">
        <v>914</v>
      </c>
      <c r="H17" s="103"/>
      <c r="I17" s="48">
        <v>0</v>
      </c>
      <c r="J17" s="17"/>
    </row>
    <row r="18" spans="1:10" ht="15" customHeight="1">
      <c r="A18" s="42" t="s">
        <v>888</v>
      </c>
      <c r="B18" s="45" t="s">
        <v>898</v>
      </c>
      <c r="C18" s="48">
        <f>SUM('Stavební rozpočet'!V12:V414)</f>
        <v>0</v>
      </c>
      <c r="D18" s="102"/>
      <c r="E18" s="103"/>
      <c r="F18" s="49"/>
      <c r="G18" s="102" t="s">
        <v>915</v>
      </c>
      <c r="H18" s="103"/>
      <c r="I18" s="48">
        <v>0</v>
      </c>
      <c r="J18" s="17"/>
    </row>
    <row r="19" spans="1:10" ht="15" customHeight="1">
      <c r="A19" s="43"/>
      <c r="B19" s="45" t="s">
        <v>796</v>
      </c>
      <c r="C19" s="48">
        <f>SUM('Stavební rozpočet'!W12:W414)</f>
        <v>0</v>
      </c>
      <c r="D19" s="102"/>
      <c r="E19" s="103"/>
      <c r="F19" s="49"/>
      <c r="G19" s="102" t="s">
        <v>916</v>
      </c>
      <c r="H19" s="103"/>
      <c r="I19" s="48">
        <v>0</v>
      </c>
      <c r="J19" s="17"/>
    </row>
    <row r="20" spans="1:10" ht="15" customHeight="1">
      <c r="A20" s="104" t="s">
        <v>889</v>
      </c>
      <c r="B20" s="105"/>
      <c r="C20" s="48">
        <f>SUM('Stavební rozpočet'!X12:X414)</f>
        <v>0</v>
      </c>
      <c r="D20" s="102"/>
      <c r="E20" s="103"/>
      <c r="F20" s="49"/>
      <c r="G20" s="102"/>
      <c r="H20" s="103"/>
      <c r="I20" s="49"/>
      <c r="J20" s="17"/>
    </row>
    <row r="21" spans="1:10" ht="15" customHeight="1">
      <c r="A21" s="104" t="s">
        <v>890</v>
      </c>
      <c r="B21" s="105"/>
      <c r="C21" s="48">
        <f>SUM('Stavební rozpočet'!P12:P414)</f>
        <v>0</v>
      </c>
      <c r="D21" s="102"/>
      <c r="E21" s="103"/>
      <c r="F21" s="49"/>
      <c r="G21" s="102"/>
      <c r="H21" s="103"/>
      <c r="I21" s="49"/>
      <c r="J21" s="17"/>
    </row>
    <row r="22" spans="1:10" ht="16.5" customHeight="1">
      <c r="A22" s="104" t="s">
        <v>891</v>
      </c>
      <c r="B22" s="105"/>
      <c r="C22" s="48">
        <f>ROUND(SUM(C14:C21),0)</f>
        <v>0</v>
      </c>
      <c r="D22" s="104" t="s">
        <v>904</v>
      </c>
      <c r="E22" s="105"/>
      <c r="F22" s="48">
        <f>SUM(F14:F21)</f>
        <v>0</v>
      </c>
      <c r="G22" s="104" t="s">
        <v>917</v>
      </c>
      <c r="H22" s="105"/>
      <c r="I22" s="48">
        <f>SUM(I14:I21)</f>
        <v>0</v>
      </c>
      <c r="J22" s="17"/>
    </row>
    <row r="23" spans="1:10" ht="15" customHeight="1">
      <c r="A23" s="4"/>
      <c r="B23" s="4"/>
      <c r="C23" s="46"/>
      <c r="D23" s="104" t="s">
        <v>905</v>
      </c>
      <c r="E23" s="105"/>
      <c r="F23" s="50">
        <v>0</v>
      </c>
      <c r="G23" s="104" t="s">
        <v>918</v>
      </c>
      <c r="H23" s="105"/>
      <c r="I23" s="48">
        <v>0</v>
      </c>
      <c r="J23" s="17"/>
    </row>
    <row r="24" spans="4:9" ht="15" customHeight="1">
      <c r="D24" s="4"/>
      <c r="E24" s="4"/>
      <c r="F24" s="51"/>
      <c r="G24" s="104" t="s">
        <v>919</v>
      </c>
      <c r="H24" s="105"/>
      <c r="I24" s="53"/>
    </row>
    <row r="25" spans="6:10" ht="15" customHeight="1">
      <c r="F25" s="52"/>
      <c r="G25" s="104" t="s">
        <v>920</v>
      </c>
      <c r="H25" s="105"/>
      <c r="I25" s="48">
        <v>0</v>
      </c>
      <c r="J25" s="17"/>
    </row>
    <row r="26" spans="1:9" ht="12.75">
      <c r="A26" s="40"/>
      <c r="B26" s="40"/>
      <c r="C26" s="40"/>
      <c r="G26" s="4"/>
      <c r="H26" s="4"/>
      <c r="I26" s="4"/>
    </row>
    <row r="27" spans="1:9" ht="15" customHeight="1">
      <c r="A27" s="106" t="s">
        <v>892</v>
      </c>
      <c r="B27" s="107"/>
      <c r="C27" s="54">
        <f>ROUND(SUM('Stavební rozpočet'!Z12:Z414),0)</f>
        <v>0</v>
      </c>
      <c r="D27" s="47"/>
      <c r="E27" s="40"/>
      <c r="F27" s="40"/>
      <c r="G27" s="40"/>
      <c r="H27" s="40"/>
      <c r="I27" s="40"/>
    </row>
    <row r="28" spans="1:10" ht="15" customHeight="1">
      <c r="A28" s="106" t="s">
        <v>893</v>
      </c>
      <c r="B28" s="107"/>
      <c r="C28" s="54">
        <f>ROUND(SUM('Stavební rozpočet'!AA12:AA414),0)</f>
        <v>0</v>
      </c>
      <c r="D28" s="106" t="s">
        <v>906</v>
      </c>
      <c r="E28" s="107"/>
      <c r="F28" s="54">
        <f>ROUND(C28*(15/100),2)</f>
        <v>0</v>
      </c>
      <c r="G28" s="106" t="s">
        <v>921</v>
      </c>
      <c r="H28" s="107"/>
      <c r="I28" s="54">
        <f>ROUND(SUM(C27:C29),0)</f>
        <v>0</v>
      </c>
      <c r="J28" s="17"/>
    </row>
    <row r="29" spans="1:10" ht="15" customHeight="1">
      <c r="A29" s="106" t="s">
        <v>894</v>
      </c>
      <c r="B29" s="107"/>
      <c r="C29" s="54">
        <f>ROUND(SUM('Stavební rozpočet'!AB12:AB414)+(F22+I22+F23+I23+I24+I25),0)</f>
        <v>0</v>
      </c>
      <c r="D29" s="106" t="s">
        <v>907</v>
      </c>
      <c r="E29" s="107"/>
      <c r="F29" s="54">
        <f>ROUND(C29*(21/100),2)</f>
        <v>0</v>
      </c>
      <c r="G29" s="106" t="s">
        <v>922</v>
      </c>
      <c r="H29" s="107"/>
      <c r="I29" s="54">
        <f>ROUND(SUM(F28:F29)+I28,0)</f>
        <v>0</v>
      </c>
      <c r="J29" s="17"/>
    </row>
    <row r="30" spans="1:9" ht="12.75">
      <c r="A30" s="44"/>
      <c r="B30" s="44"/>
      <c r="C30" s="44"/>
      <c r="D30" s="44"/>
      <c r="E30" s="44"/>
      <c r="F30" s="44"/>
      <c r="G30" s="44"/>
      <c r="H30" s="44"/>
      <c r="I30" s="44"/>
    </row>
    <row r="31" spans="1:10" ht="14.25" customHeight="1">
      <c r="A31" s="108" t="s">
        <v>895</v>
      </c>
      <c r="B31" s="109"/>
      <c r="C31" s="110"/>
      <c r="D31" s="108" t="s">
        <v>908</v>
      </c>
      <c r="E31" s="109"/>
      <c r="F31" s="110"/>
      <c r="G31" s="108" t="s">
        <v>923</v>
      </c>
      <c r="H31" s="109"/>
      <c r="I31" s="110"/>
      <c r="J31" s="18"/>
    </row>
    <row r="32" spans="1:10" ht="14.25" customHeight="1">
      <c r="A32" s="111"/>
      <c r="B32" s="112"/>
      <c r="C32" s="113"/>
      <c r="D32" s="111"/>
      <c r="E32" s="112"/>
      <c r="F32" s="113"/>
      <c r="G32" s="111"/>
      <c r="H32" s="112"/>
      <c r="I32" s="113"/>
      <c r="J32" s="18"/>
    </row>
    <row r="33" spans="1:10" ht="14.25" customHeight="1">
      <c r="A33" s="111"/>
      <c r="B33" s="112"/>
      <c r="C33" s="113"/>
      <c r="D33" s="111"/>
      <c r="E33" s="112"/>
      <c r="F33" s="113"/>
      <c r="G33" s="111"/>
      <c r="H33" s="112"/>
      <c r="I33" s="113"/>
      <c r="J33" s="18"/>
    </row>
    <row r="34" spans="1:10" ht="14.25" customHeight="1">
      <c r="A34" s="111"/>
      <c r="B34" s="112"/>
      <c r="C34" s="113"/>
      <c r="D34" s="111"/>
      <c r="E34" s="112"/>
      <c r="F34" s="113"/>
      <c r="G34" s="111"/>
      <c r="H34" s="112"/>
      <c r="I34" s="113"/>
      <c r="J34" s="18"/>
    </row>
    <row r="35" spans="1:10" ht="14.25" customHeight="1">
      <c r="A35" s="114" t="s">
        <v>896</v>
      </c>
      <c r="B35" s="115"/>
      <c r="C35" s="116"/>
      <c r="D35" s="114" t="s">
        <v>896</v>
      </c>
      <c r="E35" s="115"/>
      <c r="F35" s="116"/>
      <c r="G35" s="114" t="s">
        <v>896</v>
      </c>
      <c r="H35" s="115"/>
      <c r="I35" s="116"/>
      <c r="J35" s="18"/>
    </row>
    <row r="36" spans="1:9" ht="11.25" customHeight="1">
      <c r="A36" s="28" t="s">
        <v>195</v>
      </c>
      <c r="B36" s="26"/>
      <c r="C36" s="26"/>
      <c r="D36" s="26"/>
      <c r="E36" s="26"/>
      <c r="F36" s="26"/>
      <c r="G36" s="26"/>
      <c r="H36" s="26"/>
      <c r="I36" s="26"/>
    </row>
    <row r="37" spans="1:9" ht="12.75">
      <c r="A37" s="69"/>
      <c r="B37" s="61"/>
      <c r="C37" s="61"/>
      <c r="D37" s="61"/>
      <c r="E37" s="61"/>
      <c r="F37" s="61"/>
      <c r="G37" s="61"/>
      <c r="H37" s="61"/>
      <c r="I37" s="61"/>
    </row>
  </sheetData>
  <sheetProtection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2018-06-11T12:40:38Z</dcterms:created>
  <dcterms:modified xsi:type="dcterms:W3CDTF">2018-06-11T12:41:38Z</dcterms:modified>
  <cp:category/>
  <cp:version/>
  <cp:contentType/>
  <cp:contentStatus/>
</cp:coreProperties>
</file>