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2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<sst xmlns="http://schemas.openxmlformats.org/spreadsheetml/2006/main" count="954" uniqueCount="366">
  <si>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</si>
  <si>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</si>
  <si>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</si>
  <si>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</si>
  <si>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</si>
  <si>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</si>
  <si>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</si>
  <si>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</si>
  <si>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</si>
  <si>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</si>
  <si>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</si>
  <si>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</si>
  <si>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</si>
  <si>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</si>
  <si>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</si>
  <si>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</si>
  <si>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</si>
  <si>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</si>
  <si>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</si>
  <si>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</si>
  <si>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</si>
  <si>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</si>
  <si>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</si>
  <si>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</si>
  <si>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</si>
  <si>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</si>
  <si>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</si>
  <si>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</si>
  <si>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</si>
  <si>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</si>
  <si>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</si>
  <si>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</si>
  <si>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</si>
  <si>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</si>
  <si>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</si>
  <si>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</si>
  <si>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</si>
  <si>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</si>
  <si>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</si>
  <si>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</si>
  <si>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</si>
  <si>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</si>
  <si>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</si>
  <si>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</si>
  <si>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</si>
  <si>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</si>
  <si>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</si>
  <si>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</si>
  <si>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</si>
  <si>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</si>
  <si>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</si>
  <si>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</si>
  <si>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</si>
  <si>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</si>
  <si>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</si>
  <si>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</si>
  <si>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</si>
  <si>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</si>
  <si>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</si>
  <si>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</si>
  <si>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</si>
  <si>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</si>
  <si>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</si>
  <si>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</si>
  <si>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Poznámka:</t>
  </si>
  <si>
    <t>Objekt</t>
  </si>
  <si>
    <t>03</t>
  </si>
  <si>
    <t>Kód</t>
  </si>
  <si>
    <t>133201101R00</t>
  </si>
  <si>
    <t>133201109R00</t>
  </si>
  <si>
    <t>181006111R00</t>
  </si>
  <si>
    <t>271571112R00</t>
  </si>
  <si>
    <t>275313621R00</t>
  </si>
  <si>
    <t>277321116R00</t>
  </si>
  <si>
    <t>277354111R00</t>
  </si>
  <si>
    <t>277354211R00</t>
  </si>
  <si>
    <t>277361211R00</t>
  </si>
  <si>
    <t>762</t>
  </si>
  <si>
    <t>762523108RT2</t>
  </si>
  <si>
    <t>762595000R00</t>
  </si>
  <si>
    <t>762712120RT3</t>
  </si>
  <si>
    <t>762712140RT2</t>
  </si>
  <si>
    <t>762795000R00</t>
  </si>
  <si>
    <t>762112110RT3</t>
  </si>
  <si>
    <t>762085140R00</t>
  </si>
  <si>
    <t>762136114RT2</t>
  </si>
  <si>
    <t>762132135RT3</t>
  </si>
  <si>
    <t>762112110RT4</t>
  </si>
  <si>
    <t>762195000R00</t>
  </si>
  <si>
    <t>998762102R00</t>
  </si>
  <si>
    <t>764</t>
  </si>
  <si>
    <t>764905502RT3</t>
  </si>
  <si>
    <t>998764102R00</t>
  </si>
  <si>
    <t>764252603RT1</t>
  </si>
  <si>
    <t>764259613RT1</t>
  </si>
  <si>
    <t>764554402R00</t>
  </si>
  <si>
    <t>998764202R00</t>
  </si>
  <si>
    <t>767</t>
  </si>
  <si>
    <t>767420230VD</t>
  </si>
  <si>
    <t>767392802R00</t>
  </si>
  <si>
    <t>767995101R00</t>
  </si>
  <si>
    <t>13321098</t>
  </si>
  <si>
    <t>13384425</t>
  </si>
  <si>
    <t>13331762</t>
  </si>
  <si>
    <t>767995107R00</t>
  </si>
  <si>
    <t>998767202R00</t>
  </si>
  <si>
    <t>775</t>
  </si>
  <si>
    <t>775592002R00</t>
  </si>
  <si>
    <t>783</t>
  </si>
  <si>
    <t>783782206R00</t>
  </si>
  <si>
    <t>783904811R00</t>
  </si>
  <si>
    <t>783903811R00</t>
  </si>
  <si>
    <t>783222941RT1</t>
  </si>
  <si>
    <t>783201811R00</t>
  </si>
  <si>
    <t>783682131R00</t>
  </si>
  <si>
    <t>783682111R00</t>
  </si>
  <si>
    <t>783626211RT1</t>
  </si>
  <si>
    <t>783126151R00</t>
  </si>
  <si>
    <t>94</t>
  </si>
  <si>
    <t>94840600VD</t>
  </si>
  <si>
    <t>943943221R00</t>
  </si>
  <si>
    <t>943943292R00</t>
  </si>
  <si>
    <t>943943821R00</t>
  </si>
  <si>
    <t>943955021R00</t>
  </si>
  <si>
    <t>943955191R00</t>
  </si>
  <si>
    <t>943955821R00</t>
  </si>
  <si>
    <t>H02</t>
  </si>
  <si>
    <t>998021021R00</t>
  </si>
  <si>
    <t>M21</t>
  </si>
  <si>
    <t>210-116.08VD</t>
  </si>
  <si>
    <t>21100160VD</t>
  </si>
  <si>
    <t>S</t>
  </si>
  <si>
    <t>979081111R00</t>
  </si>
  <si>
    <t>979081121R00</t>
  </si>
  <si>
    <t>Objekt zázemí,pergoly a přemíst. podia v areálu HZ Michálkovice</t>
  </si>
  <si>
    <t>Novostavba - SO 03 Přemístění podia</t>
  </si>
  <si>
    <t>Ostrava-Michálkovice</t>
  </si>
  <si>
    <t>Zkrácený popis</t>
  </si>
  <si>
    <t>Rozměry</t>
  </si>
  <si>
    <t>SO 03 Přemístění podia</t>
  </si>
  <si>
    <t>Hloubené vykopávky</t>
  </si>
  <si>
    <t>Hloubení šachet v hor.3 do 100 m3</t>
  </si>
  <si>
    <t>0,7*0,7*0,5*9</t>
  </si>
  <si>
    <t>Příplatek za lepivost - hloubení šachet v hor.3</t>
  </si>
  <si>
    <t>Povrchové úpravy terénu</t>
  </si>
  <si>
    <t>Rozprostření zemin v rov./sklonu 1:5, tl. do 10 cm</t>
  </si>
  <si>
    <t>7*8</t>
  </si>
  <si>
    <t>Základy</t>
  </si>
  <si>
    <t>Polštář základu ze štěrkopísku netříděného</t>
  </si>
  <si>
    <t>0,7*0,7*0,2*9</t>
  </si>
  <si>
    <t>Beton základových patek prostý C 20/25</t>
  </si>
  <si>
    <t>0,7*0,7*0,3*9</t>
  </si>
  <si>
    <t>Železobeton zákl. pilířů z cem. portlad. C 16/20</t>
  </si>
  <si>
    <t>0,3*0,3*0,33*9</t>
  </si>
  <si>
    <t>Bednění základových pilířů zřízení</t>
  </si>
  <si>
    <t>0,3*0,33*4*9</t>
  </si>
  <si>
    <t>Bednění základových pilířů odstranění</t>
  </si>
  <si>
    <t>Výztuž základ. pilířů do 12 mm z oceli 10 216 (E)</t>
  </si>
  <si>
    <t>Konstrukce tesařské</t>
  </si>
  <si>
    <t>Položení podlah hoblovaných na sraz z fošen</t>
  </si>
  <si>
    <t>43,4   vč. dod. fošen tl.38mm</t>
  </si>
  <si>
    <t>Spojovací a ochranné prostředky k položení podlah</t>
  </si>
  <si>
    <t>43,4*0,04</t>
  </si>
  <si>
    <t>Montáž vázaných konstrukcí hraněných do 224 cm2</t>
  </si>
  <si>
    <t>6,35*8   vaznice 2 vč. hr.100x200</t>
  </si>
  <si>
    <t>Montáž vázaných konstrukcí hraněných do 450 cm2</t>
  </si>
  <si>
    <t>7,3*3   vaznice 1 vč. hr.140x240</t>
  </si>
  <si>
    <t>Spojovací prostředky pro vázané konstrukce</t>
  </si>
  <si>
    <t>0,1*0,2*50,8</t>
  </si>
  <si>
    <t>0,14*0,24*21,9</t>
  </si>
  <si>
    <t>Montáž konstrukce stěn z řeziva hraněn. do 120 cm2</t>
  </si>
  <si>
    <t>3,9*4   nosná konstr. štít. stěny vč. hr. 100x120</t>
  </si>
  <si>
    <t>2,8*2</t>
  </si>
  <si>
    <t>Hoblování viditelných částí krovu čtyřstranné</t>
  </si>
  <si>
    <t>21,2   nosná konstr. štítu</t>
  </si>
  <si>
    <t>Montáž bednění stěn z latí hoblov., mezery 4 - 6cm</t>
  </si>
  <si>
    <t>6,25*3,7   vč. dod. latí 4/6</t>
  </si>
  <si>
    <t>Montáž bednění stěn, prkna hoblovaná 32 mm na sraz</t>
  </si>
  <si>
    <t>6,6*0,83*2   opláštění soklu vč. dod. prken tl.24mm</t>
  </si>
  <si>
    <t>7,15*0,83*2</t>
  </si>
  <si>
    <t>0,85*5*2   vč. fošny 60x100 -nosná konstr. soklu</t>
  </si>
  <si>
    <t>(6,6+7,15)*2</t>
  </si>
  <si>
    <t>Spojovací a ochranné prostředky pro montáž stěn</t>
  </si>
  <si>
    <t>0,1*0,12*21,2   nosná konstr. štítu</t>
  </si>
  <si>
    <t>23,13*0,04*0,9   latě</t>
  </si>
  <si>
    <t>22,83*0,025   prkna</t>
  </si>
  <si>
    <t>0,1*0,06*36   nosná konstr. soklu</t>
  </si>
  <si>
    <t>Přesun hmot pro tesařské konstrukce, výšky do 12 m</t>
  </si>
  <si>
    <t>Konstrukce klempířské</t>
  </si>
  <si>
    <t xml:space="preserve"> Krytina z trapéz.plechů T45Dn, na ocel</t>
  </si>
  <si>
    <t>7,7*11</t>
  </si>
  <si>
    <t>Přesun hmot pro klempířské konstr., výšky do 12 m</t>
  </si>
  <si>
    <t>Žlab podokapní půlkulatý TiZn RHEINZINK rš. 280 mm</t>
  </si>
  <si>
    <t>7,75*2</t>
  </si>
  <si>
    <t>Kotlík závěsný TiZn RHEINZINK půlkulatý,280/100 mm</t>
  </si>
  <si>
    <t>Odpadní trouby z Ti Zn plechu, kruhové, D 100 mm</t>
  </si>
  <si>
    <t>3,6*2</t>
  </si>
  <si>
    <t>Konstrukce doplňkové stavební (zámečnické)</t>
  </si>
  <si>
    <t>Z1 Schodiště ocel. se zábradlím pororošt+jakl.prof. zábradlí,pozink.</t>
  </si>
  <si>
    <t>Demontáž krytin střech z plechů, šroubovaných</t>
  </si>
  <si>
    <t>Výroba a montáž kov. atypických konstr. do 5 kg</t>
  </si>
  <si>
    <t>15,4   ocel. úchyty pro nosné konstr. štítu</t>
  </si>
  <si>
    <t>Tyč ocelová plochá jakost S235  70x  8 mm</t>
  </si>
  <si>
    <t>0,25*4,4*14*1,08</t>
  </si>
  <si>
    <t>Tyč průřezu U 100, střední, jakost oceli S235</t>
  </si>
  <si>
    <t>(6,6+7,15)*2*0,0106*1,08</t>
  </si>
  <si>
    <t>Úhelník rovnoramenný L jakost S235   70x 70x 6 mm</t>
  </si>
  <si>
    <t>0,5*8*2*0,0064*1,08</t>
  </si>
  <si>
    <t>Výroba a montáž kov. atypických konstr. do 500 kg</t>
  </si>
  <si>
    <t>290   ocel. nosná konstr. pro opláštění soklu</t>
  </si>
  <si>
    <t>Přesun hmot pro zámečnické konstr., výšky do 12 m</t>
  </si>
  <si>
    <t>Podlahy vlysové a parketové</t>
  </si>
  <si>
    <t>Broušení dřevěných podlah střední zr.36-40</t>
  </si>
  <si>
    <t>Nátěry</t>
  </si>
  <si>
    <t>Nátěr tesařských konstrukcí Bochemitem QB Hobby 2x</t>
  </si>
  <si>
    <t>(0,14+0,24)*2*21,9</t>
  </si>
  <si>
    <t>(0,1+0,2)*2*50,8</t>
  </si>
  <si>
    <t>(0,1+0,06)*2*36   nosná konstr. soklu</t>
  </si>
  <si>
    <t>Odrezivění kovových konstrukcí</t>
  </si>
  <si>
    <t>Odmaštění chemickými rozpouštědly</t>
  </si>
  <si>
    <t>Údržba, nátěr syntetický kovových konstr. Roko 2x</t>
  </si>
  <si>
    <t>Odstranění nátěrů z kovových konstrukcí oškrábáním</t>
  </si>
  <si>
    <t>Lazura ochranná olejová dřevěných podlah (Osmo) 2x</t>
  </si>
  <si>
    <t>Impregnace olejová dřevěných podlah WR (Osmo) 1x</t>
  </si>
  <si>
    <t>Nátěr truhlářských výrobků lazurovací BASF 2x</t>
  </si>
  <si>
    <t>57   latě štítu</t>
  </si>
  <si>
    <t>(0,1+0,12)*21,2   nosná konstr. štítu</t>
  </si>
  <si>
    <t>22,83*2   opláštění soklu</t>
  </si>
  <si>
    <t>Nátěr syntetický OK plnostěn. "D" dvojnás., Paulín</t>
  </si>
  <si>
    <t>0,07*0,25*2*14   úchyty štítu</t>
  </si>
  <si>
    <t>(0,05+0,1+0,05)*2*(6,6+7,15)*2   U č.100</t>
  </si>
  <si>
    <t>(0,07*2*2)*0,5*16   L 70/70</t>
  </si>
  <si>
    <t>Lešení a stavební výtahy</t>
  </si>
  <si>
    <t>Výpomocné jeřábové práce + převoz ocel. konstrukce</t>
  </si>
  <si>
    <t>Montáž lešení prostorové lehké, do 200kg, H 10 m</t>
  </si>
  <si>
    <t>8,5*6,6*5,5</t>
  </si>
  <si>
    <t>Příplatek za každý měsíc použití k pol..3221, 3222</t>
  </si>
  <si>
    <t>Demontáž lešení, prostor. lehké, 200 kPa, H 10 m</t>
  </si>
  <si>
    <t>Montáž lešeňové podlahy s příčníky a podél.,H 10 m</t>
  </si>
  <si>
    <t>8,5*6,6</t>
  </si>
  <si>
    <t>Příplatek za každý měsíc použití leš.k pol.21až 41</t>
  </si>
  <si>
    <t>Demontáž leš. podlahy s příč. a podélníky, H 10 m</t>
  </si>
  <si>
    <t>Haly občanské výstavby</t>
  </si>
  <si>
    <t>Přesun hmot pro haly zděné výšky do 20 m</t>
  </si>
  <si>
    <t>Elektromontáže</t>
  </si>
  <si>
    <t>Uzemnění,vodivé pospojování, hromosvod, revize</t>
  </si>
  <si>
    <t>D+M elektroinstalace dle sam. rozpočtu</t>
  </si>
  <si>
    <t>1   Demontáž stáv. el. inst. + nová vč. svítidel</t>
  </si>
  <si>
    <t>Přesuny sutí</t>
  </si>
  <si>
    <t>Odvoz suti a vybour. hmot na skládku do 1 km</t>
  </si>
  <si>
    <t>Příplatek k odvozu za každý další 1 km</t>
  </si>
  <si>
    <t>0,59*14</t>
  </si>
  <si>
    <t>Doba výstavby:</t>
  </si>
  <si>
    <t>Začátek výstavby:</t>
  </si>
  <si>
    <t>Konec výstavby:</t>
  </si>
  <si>
    <t>Zpracováno dne:</t>
  </si>
  <si>
    <t>M.j.</t>
  </si>
  <si>
    <t>m3</t>
  </si>
  <si>
    <t>m2</t>
  </si>
  <si>
    <t>t</t>
  </si>
  <si>
    <t>m</t>
  </si>
  <si>
    <t>kus</t>
  </si>
  <si>
    <t>%</t>
  </si>
  <si>
    <t>ks</t>
  </si>
  <si>
    <t>kg</t>
  </si>
  <si>
    <t>kompl</t>
  </si>
  <si>
    <t>Množství</t>
  </si>
  <si>
    <t>01.06.2018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</si>
  <si>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</si>
  <si>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</si>
  <si>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</si>
  <si>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</si>
  <si>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</si>
  <si>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</si>
  <si>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</si>
  <si>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</si>
  <si>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</si>
  <si>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</si>
  <si>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MO Michálkovice, ČA 325/106, Ostrava</t>
  </si>
  <si>
    <t>R.Šípek</t>
  </si>
  <si>
    <t>Celkem</t>
  </si>
  <si>
    <t>Hmotnost (t)</t>
  </si>
  <si>
    <t>Cenová</t>
  </si>
  <si>
    <t>soustava</t>
  </si>
  <si>
    <t>RTS I / 2018</t>
  </si>
  <si>
    <t>RTS I / 2017</t>
  </si>
  <si>
    <t>RTS II / 2017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</si>
  <si>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</si>
  <si>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</si>
  <si>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</si>
  <si>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</si>
  <si>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</si>
  <si>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</si>
  <si>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</si>
  <si>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</si>
  <si>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</si>
  <si>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13_</t>
  </si>
  <si>
    <t>18_</t>
  </si>
  <si>
    <t>27_</t>
  </si>
  <si>
    <t>762_</t>
  </si>
  <si>
    <t>764_</t>
  </si>
  <si>
    <t>767_</t>
  </si>
  <si>
    <t>775_</t>
  </si>
  <si>
    <t>783_</t>
  </si>
  <si>
    <t>94_</t>
  </si>
  <si>
    <t>H02_</t>
  </si>
  <si>
    <t>M21_</t>
  </si>
  <si>
    <t>S_</t>
  </si>
  <si>
    <t>03_1_</t>
  </si>
  <si>
    <t>03_2_</t>
  </si>
  <si>
    <t>03_76_</t>
  </si>
  <si>
    <t>03_77_</t>
  </si>
  <si>
    <t>03_78_</t>
  </si>
  <si>
    <t>03_9_</t>
  </si>
  <si>
    <t>03_</t>
  </si>
  <si>
    <t>Slepý stavební rozpočet - rekapitulace</t>
  </si>
  <si>
    <t>Náklady (Kč) - dodávka</t>
  </si>
  <si>
    <t>Náklady (Kč) - Montáž</t>
  </si>
  <si>
    <t>Náklady (Kč) - celkem</t>
  </si>
  <si>
    <t>Celková hmotnost (t)</t>
  </si>
  <si>
    <t>F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</si>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</sst>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52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15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5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6" fillId="20" borderId="0" applyNumberFormat="0" applyBorder="0" applyAlignment="0" applyProtection="0"/>
    <xf numFmtId="0" fontId="37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9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9" fontId="11" fillId="34" borderId="18" xfId="0" applyNumberFormat="1" applyFont="1" applyFill="1" applyBorder="1" applyAlignment="1" applyProtection="1">
      <alignment horizontal="center" vertical="center"/>
      <protection/>
    </xf>
    <xf numFmtId="49" fontId="12" fillId="0" borderId="19" xfId="0" applyNumberFormat="1" applyFont="1" applyFill="1" applyBorder="1" applyAlignment="1" applyProtection="1">
      <alignment horizontal="left" vertical="center"/>
      <protection/>
    </xf>
    <xf numFmtId="49" fontId="12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horizontal="left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" fontId="13" fillId="0" borderId="18" xfId="0" applyNumberFormat="1" applyFont="1" applyFill="1" applyBorder="1" applyAlignment="1" applyProtection="1">
      <alignment horizontal="right" vertical="center"/>
      <protection/>
    </xf>
    <xf numFmtId="49" fontId="13" fillId="0" borderId="18" xfId="0" applyNumberFormat="1" applyFont="1" applyFill="1" applyBorder="1" applyAlignment="1" applyProtection="1">
      <alignment horizontal="right" vertical="center"/>
      <protection/>
    </xf>
    <xf numFmtId="4" fontId="13" fillId="0" borderId="25" xfId="0" applyNumberFormat="1" applyFont="1" applyFill="1" applyBorder="1" applyAlignment="1" applyProtection="1">
      <alignment horizontal="right"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" fontId="12" fillId="34" borderId="29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49" fontId="10" fillId="0" borderId="38" xfId="0" applyNumberFormat="1" applyFont="1" applyFill="1" applyBorder="1" applyAlignment="1" applyProtection="1">
      <alignment horizontal="center" vertical="center"/>
      <protection/>
    </xf>
    <xf numFmtId="0" fontId="10" fillId="0" borderId="38" xfId="0" applyNumberFormat="1" applyFont="1" applyFill="1" applyBorder="1" applyAlignment="1" applyProtection="1">
      <alignment horizontal="center" vertical="center"/>
      <protection/>
    </xf>
    <xf numFmtId="49" fontId="14" fillId="0" borderId="28" xfId="0" applyNumberFormat="1" applyFont="1" applyFill="1" applyBorder="1" applyAlignment="1" applyProtection="1">
      <alignment horizontal="left" vertical="center"/>
      <protection/>
    </xf>
    <xf numFmtId="0" fontId="14" fillId="0" borderId="29" xfId="0" applyNumberFormat="1" applyFont="1" applyFill="1" applyBorder="1" applyAlignment="1" applyProtection="1">
      <alignment horizontal="left" vertical="center"/>
      <protection/>
    </xf>
    <xf numFmtId="49" fontId="13" fillId="0" borderId="28" xfId="0" applyNumberFormat="1" applyFont="1" applyFill="1" applyBorder="1" applyAlignment="1" applyProtection="1">
      <alignment horizontal="left" vertical="center"/>
      <protection/>
    </xf>
    <xf numFmtId="0" fontId="13" fillId="0" borderId="29" xfId="0" applyNumberFormat="1" applyFont="1" applyFill="1" applyBorder="1" applyAlignment="1" applyProtection="1">
      <alignment horizontal="left" vertical="center"/>
      <protection/>
    </xf>
    <xf numFmtId="49" fontId="12" fillId="0" borderId="28" xfId="0" applyNumberFormat="1" applyFont="1" applyFill="1" applyBorder="1" applyAlignment="1" applyProtection="1">
      <alignment horizontal="left" vertical="center"/>
      <protection/>
    </xf>
    <xf numFmtId="0" fontId="12" fillId="0" borderId="29" xfId="0" applyNumberFormat="1" applyFont="1" applyFill="1" applyBorder="1" applyAlignment="1" applyProtection="1">
      <alignment horizontal="left" vertical="center"/>
      <protection/>
    </xf>
    <xf numFmtId="49" fontId="12" fillId="34" borderId="28" xfId="0" applyNumberFormat="1" applyFont="1" applyFill="1" applyBorder="1" applyAlignment="1" applyProtection="1">
      <alignment horizontal="left" vertical="center"/>
      <protection/>
    </xf>
    <xf numFmtId="0" fontId="12" fillId="34" borderId="38" xfId="0" applyNumberFormat="1" applyFont="1" applyFill="1" applyBorder="1" applyAlignment="1" applyProtection="1">
      <alignment horizontal="left" vertical="center"/>
      <protection/>
    </xf>
    <xf numFmtId="49" fontId="13" fillId="0" borderId="39" xfId="0" applyNumberFormat="1" applyFont="1" applyFill="1" applyBorder="1" applyAlignment="1" applyProtection="1">
      <alignment horizontal="left" vertical="center"/>
      <protection/>
    </xf>
    <xf numFmtId="0" fontId="13" fillId="0" borderId="22" xfId="0" applyNumberFormat="1" applyFont="1" applyFill="1" applyBorder="1" applyAlignment="1" applyProtection="1">
      <alignment horizontal="left" vertical="center"/>
      <protection/>
    </xf>
    <xf numFmtId="0" fontId="13" fillId="0" borderId="40" xfId="0" applyNumberFormat="1" applyFont="1" applyFill="1" applyBorder="1" applyAlignment="1" applyProtection="1">
      <alignment horizontal="left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41" xfId="0" applyNumberFormat="1" applyFont="1" applyFill="1" applyBorder="1" applyAlignment="1" applyProtection="1">
      <alignment horizontal="left" vertical="center"/>
      <protection/>
    </xf>
    <xf numFmtId="49" fontId="13" fillId="0" borderId="42" xfId="0" applyNumberFormat="1" applyFont="1" applyFill="1" applyBorder="1" applyAlignment="1" applyProtection="1">
      <alignment horizontal="left" vertical="center"/>
      <protection/>
    </xf>
    <xf numFmtId="0" fontId="13" fillId="0" borderId="32" xfId="0" applyNumberFormat="1" applyFont="1" applyFill="1" applyBorder="1" applyAlignment="1" applyProtection="1">
      <alignment horizontal="left" vertical="center"/>
      <protection/>
    </xf>
    <xf numFmtId="0" fontId="13" fillId="0" borderId="43" xfId="0" applyNumberFormat="1" applyFont="1" applyFill="1" applyBorder="1" applyAlignment="1" applyProtection="1">
      <alignment horizontal="left" vertical="center"/>
      <protection/>
    </xf>
    <xf numFmtId="49" fontId="1" fillId="0" borderId="44" xfId="0" applyNumberFormat="1" applyFont="1" applyFill="1" applyBorder="1" applyAlignment="1" applyProtection="1">
      <alignment horizontal="left" vertical="center"/>
      <protection/>
    </xf>
    <xf numFmtId="49" fontId="1" fillId="0" borderId="45" xfId="0" applyNumberFormat="1" applyFont="1" applyFill="1" applyBorder="1" applyAlignment="1" applyProtection="1">
      <alignment horizontal="left" vertical="center"/>
      <protection/>
    </xf>
    <xf numFmtId="49" fontId="3" fillId="0" borderId="45" xfId="0" applyNumberFormat="1" applyFont="1" applyFill="1" applyBorder="1" applyAlignment="1" applyProtection="1">
      <alignment horizontal="left" vertical="center"/>
      <protection/>
    </xf>
    <xf numFmtId="49" fontId="3" fillId="0" borderId="46" xfId="0" applyNumberFormat="1" applyFont="1" applyFill="1" applyBorder="1" applyAlignment="1" applyProtection="1">
      <alignment horizontal="center" vertical="center"/>
      <protection/>
    </xf>
    <xf numFmtId="49" fontId="3" fillId="0" borderId="47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48" xfId="0" applyNumberFormat="1" applyFont="1" applyFill="1" applyBorder="1" applyAlignment="1" applyProtection="1">
      <alignment horizontal="center" vertical="center"/>
      <protection/>
    </xf>
    <xf numFmtId="49" fontId="3" fillId="0" borderId="49" xfId="0" applyNumberFormat="1" applyFont="1" applyFill="1" applyBorder="1" applyAlignment="1" applyProtection="1">
      <alignment horizontal="center" vertical="center"/>
      <protection/>
    </xf>
    <xf numFmtId="49" fontId="4" fillId="33" borderId="18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4" fontId="8" fillId="33" borderId="18" xfId="0" applyNumberFormat="1" applyFont="1" applyFill="1" applyBorder="1" applyAlignment="1" applyProtection="1">
      <alignment horizontal="right" vertical="center"/>
      <protection/>
    </xf>
    <xf numFmtId="49" fontId="8" fillId="33" borderId="18" xfId="0" applyNumberFormat="1" applyFont="1" applyFill="1" applyBorder="1" applyAlignment="1" applyProtection="1">
      <alignment horizontal="right" vertical="center"/>
      <protection/>
    </xf>
    <xf numFmtId="49" fontId="5" fillId="0" borderId="18" xfId="0" applyNumberFormat="1" applyFont="1" applyFill="1" applyBorder="1" applyAlignment="1" applyProtection="1">
      <alignment horizontal="left" vertical="center"/>
      <protection/>
    </xf>
    <xf numFmtId="4" fontId="5" fillId="0" borderId="18" xfId="0" applyNumberFormat="1" applyFont="1" applyFill="1" applyBorder="1" applyAlignment="1" applyProtection="1">
      <alignment horizontal="right" vertical="center"/>
      <protection/>
    </xf>
    <xf numFmtId="49" fontId="5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18" xfId="0" applyFont="1" applyBorder="1" applyAlignment="1">
      <alignment vertical="center"/>
    </xf>
    <xf numFmtId="49" fontId="9" fillId="0" borderId="18" xfId="0" applyNumberFormat="1" applyFont="1" applyFill="1" applyBorder="1" applyAlignment="1" applyProtection="1">
      <alignment horizontal="left" vertical="center"/>
      <protection/>
    </xf>
    <xf numFmtId="4" fontId="9" fillId="0" borderId="18" xfId="0" applyNumberFormat="1" applyFont="1" applyFill="1" applyBorder="1" applyAlignment="1" applyProtection="1">
      <alignment horizontal="right" vertical="center"/>
      <protection/>
    </xf>
    <xf numFmtId="49" fontId="6" fillId="0" borderId="18" xfId="0" applyNumberFormat="1" applyFont="1" applyFill="1" applyBorder="1" applyAlignment="1" applyProtection="1">
      <alignment horizontal="left" vertical="center"/>
      <protection/>
    </xf>
    <xf numFmtId="4" fontId="6" fillId="0" borderId="18" xfId="0" applyNumberFormat="1" applyFont="1" applyFill="1" applyBorder="1" applyAlignment="1" applyProtection="1">
      <alignment horizontal="right" vertical="center"/>
      <protection/>
    </xf>
    <xf numFmtId="49" fontId="6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4" fontId="3" fillId="0" borderId="18" xfId="0" applyNumberFormat="1" applyFont="1" applyFill="1" applyBorder="1" applyAlignment="1" applyProtection="1">
      <alignment horizontal="right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50" fillId="35" borderId="18" xfId="0" applyNumberFormat="1" applyFont="1" applyFill="1" applyBorder="1" applyAlignment="1" applyProtection="1">
      <alignment horizontal="left" vertical="center"/>
      <protection/>
    </xf>
    <xf numFmtId="49" fontId="51" fillId="35" borderId="18" xfId="0" applyNumberFormat="1" applyFont="1" applyFill="1" applyBorder="1" applyAlignment="1" applyProtection="1">
      <alignment horizontal="left" vertical="center"/>
      <protection/>
    </xf>
    <xf numFmtId="4" fontId="51" fillId="35" borderId="18" xfId="0" applyNumberFormat="1" applyFont="1" applyFill="1" applyBorder="1" applyAlignment="1" applyProtection="1">
      <alignment horizontal="right" vertical="center"/>
      <protection/>
    </xf>
    <xf numFmtId="49" fontId="51" fillId="35" borderId="18" xfId="0" applyNumberFormat="1" applyFont="1" applyFill="1" applyBorder="1" applyAlignment="1" applyProtection="1">
      <alignment horizontal="righ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51" fillId="0" borderId="18" xfId="0" applyNumberFormat="1" applyFont="1" applyFill="1" applyBorder="1" applyAlignment="1" applyProtection="1">
      <alignment horizontal="left" vertical="center"/>
      <protection/>
    </xf>
    <xf numFmtId="4" fontId="51" fillId="0" borderId="18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228600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30"/>
  <sheetViews>
    <sheetView zoomScalePageLayoutView="0" workbookViewId="0" topLeftCell="A1">
      <pane ySplit="11" topLeftCell="A96" activePane="bottomLeft" state="frozen"/>
      <selection pane="topLeft" activeCell="A1" sqref="A1"/>
      <selection pane="bottomLeft" activeCell="A12" sqref="A12:M12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56.421875" style="0" customWidth="1"/>
    <col min="5" max="5" width="5.8515625" style="0" customWidth="1"/>
    <col min="6" max="6" width="12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1.14062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4" ht="12.75">
      <c r="A2" s="37" t="s">
        <v>1</v>
      </c>
      <c r="B2" s="38"/>
      <c r="C2" s="38"/>
      <c r="D2" s="41" t="s">
        <v>134</v>
      </c>
      <c r="E2" s="43" t="s">
        <v>252</v>
      </c>
      <c r="F2" s="38"/>
      <c r="G2" s="43" t="s">
        <v>6</v>
      </c>
      <c r="H2" s="38"/>
      <c r="I2" s="44" t="s">
        <v>273</v>
      </c>
      <c r="J2" s="44" t="s">
        <v>278</v>
      </c>
      <c r="K2" s="38"/>
      <c r="L2" s="38"/>
      <c r="M2" s="45"/>
      <c r="N2" s="13"/>
    </row>
    <row r="3" spans="1:14" ht="12.75">
      <c r="A3" s="39"/>
      <c r="B3" s="40"/>
      <c r="C3" s="40"/>
      <c r="D3" s="42"/>
      <c r="E3" s="40"/>
      <c r="F3" s="40"/>
      <c r="G3" s="40"/>
      <c r="H3" s="40"/>
      <c r="I3" s="40"/>
      <c r="J3" s="40"/>
      <c r="K3" s="40"/>
      <c r="L3" s="40"/>
      <c r="M3" s="46"/>
      <c r="N3" s="13"/>
    </row>
    <row r="4" spans="1:14" ht="12.75">
      <c r="A4" s="47" t="s">
        <v>2</v>
      </c>
      <c r="B4" s="40"/>
      <c r="C4" s="40"/>
      <c r="D4" s="48" t="s">
        <v>135</v>
      </c>
      <c r="E4" s="49" t="s">
        <v>253</v>
      </c>
      <c r="F4" s="40"/>
      <c r="G4" s="49" t="s">
        <v>6</v>
      </c>
      <c r="H4" s="40"/>
      <c r="I4" s="48" t="s">
        <v>274</v>
      </c>
      <c r="J4" s="48" t="s">
        <v>6</v>
      </c>
      <c r="K4" s="40"/>
      <c r="L4" s="40"/>
      <c r="M4" s="46"/>
      <c r="N4" s="13"/>
    </row>
    <row r="5" spans="1:14" ht="12.7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6"/>
      <c r="N5" s="13"/>
    </row>
    <row r="6" spans="1:14" ht="12.75">
      <c r="A6" s="47" t="s">
        <v>3</v>
      </c>
      <c r="B6" s="40"/>
      <c r="C6" s="40"/>
      <c r="D6" s="48" t="s">
        <v>136</v>
      </c>
      <c r="E6" s="49" t="s">
        <v>254</v>
      </c>
      <c r="F6" s="40"/>
      <c r="G6" s="49" t="s">
        <v>6</v>
      </c>
      <c r="H6" s="40"/>
      <c r="I6" s="48" t="s">
        <v>275</v>
      </c>
      <c r="J6" s="48" t="s">
        <v>6</v>
      </c>
      <c r="K6" s="40"/>
      <c r="L6" s="40"/>
      <c r="M6" s="46"/>
      <c r="N6" s="13"/>
    </row>
    <row r="7" spans="1:14" ht="12.7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6"/>
      <c r="N7" s="13"/>
    </row>
    <row r="8" spans="1:14" ht="12.75">
      <c r="A8" s="47" t="s">
        <v>4</v>
      </c>
      <c r="B8" s="40"/>
      <c r="C8" s="40"/>
      <c r="D8" s="48" t="s">
        <v>6</v>
      </c>
      <c r="E8" s="49" t="s">
        <v>255</v>
      </c>
      <c r="F8" s="40"/>
      <c r="G8" s="49" t="s">
        <v>267</v>
      </c>
      <c r="H8" s="40"/>
      <c r="I8" s="48" t="s">
        <v>276</v>
      </c>
      <c r="J8" s="48" t="s">
        <v>279</v>
      </c>
      <c r="K8" s="40"/>
      <c r="L8" s="40"/>
      <c r="M8" s="46"/>
      <c r="N8" s="13"/>
    </row>
    <row r="9" spans="1:14" ht="12.75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2"/>
      <c r="N9" s="13"/>
    </row>
    <row r="10" spans="1:14" ht="12.75">
      <c r="A10" s="1" t="s">
        <v>5</v>
      </c>
      <c r="B10" s="4" t="s">
        <v>65</v>
      </c>
      <c r="C10" s="4" t="s">
        <v>67</v>
      </c>
      <c r="D10" s="4" t="s">
        <v>137</v>
      </c>
      <c r="E10" s="4" t="s">
        <v>256</v>
      </c>
      <c r="F10" s="5" t="s">
        <v>266</v>
      </c>
      <c r="G10" s="8" t="s">
        <v>268</v>
      </c>
      <c r="H10" s="53" t="s">
        <v>270</v>
      </c>
      <c r="I10" s="54"/>
      <c r="J10" s="55"/>
      <c r="K10" s="53" t="s">
        <v>281</v>
      </c>
      <c r="L10" s="55"/>
      <c r="M10" s="10" t="s">
        <v>282</v>
      </c>
      <c r="N10" s="14"/>
    </row>
    <row r="11" spans="1:24" ht="12.75">
      <c r="A11" s="83" t="s">
        <v>6</v>
      </c>
      <c r="B11" s="84" t="s">
        <v>6</v>
      </c>
      <c r="C11" s="84" t="s">
        <v>6</v>
      </c>
      <c r="D11" s="85" t="s">
        <v>138</v>
      </c>
      <c r="E11" s="84" t="s">
        <v>6</v>
      </c>
      <c r="F11" s="84" t="s">
        <v>6</v>
      </c>
      <c r="G11" s="86" t="s">
        <v>269</v>
      </c>
      <c r="H11" s="87" t="s">
        <v>271</v>
      </c>
      <c r="I11" s="88" t="s">
        <v>277</v>
      </c>
      <c r="J11" s="89" t="s">
        <v>280</v>
      </c>
      <c r="K11" s="87" t="s">
        <v>268</v>
      </c>
      <c r="L11" s="89" t="s">
        <v>280</v>
      </c>
      <c r="M11" s="90" t="s">
        <v>283</v>
      </c>
      <c r="N11" s="14"/>
      <c r="P11" s="9" t="s">
        <v>287</v>
      </c>
      <c r="Q11" s="9" t="s">
        <v>288</v>
      </c>
      <c r="R11" s="9" t="s">
        <v>289</v>
      </c>
      <c r="S11" s="9" t="s">
        <v>290</v>
      </c>
      <c r="T11" s="9" t="s">
        <v>291</v>
      </c>
      <c r="U11" s="9" t="s">
        <v>292</v>
      </c>
      <c r="V11" s="9" t="s">
        <v>293</v>
      </c>
      <c r="W11" s="9" t="s">
        <v>294</v>
      </c>
      <c r="X11" s="9" t="s">
        <v>295</v>
      </c>
    </row>
    <row r="12" spans="1:13" ht="12.75">
      <c r="A12" s="109"/>
      <c r="B12" s="110" t="s">
        <v>66</v>
      </c>
      <c r="C12" s="110"/>
      <c r="D12" s="110" t="s">
        <v>139</v>
      </c>
      <c r="E12" s="109" t="s">
        <v>6</v>
      </c>
      <c r="F12" s="109" t="s">
        <v>6</v>
      </c>
      <c r="G12" s="109" t="s">
        <v>6</v>
      </c>
      <c r="H12" s="111">
        <f>H13+H17+H20+H31+H62+H72+H87+H89+H108+H118+H120+H124</f>
        <v>0</v>
      </c>
      <c r="I12" s="111">
        <f>I13+I17+I20+I31+I62+I72+I87+I89+I108+I118+I120+I124</f>
        <v>0</v>
      </c>
      <c r="J12" s="111">
        <f>H12+I12</f>
        <v>0</v>
      </c>
      <c r="K12" s="112"/>
      <c r="L12" s="111">
        <f>L13+L17+L20+L31+L62+L72+L87+L89+L108+L118+L120+L124</f>
        <v>13.8800379</v>
      </c>
      <c r="M12" s="112"/>
    </row>
    <row r="13" spans="1:37" ht="12.75">
      <c r="A13" s="91"/>
      <c r="B13" s="92" t="s">
        <v>66</v>
      </c>
      <c r="C13" s="92" t="s">
        <v>19</v>
      </c>
      <c r="D13" s="92" t="s">
        <v>140</v>
      </c>
      <c r="E13" s="91" t="s">
        <v>6</v>
      </c>
      <c r="F13" s="91" t="s">
        <v>6</v>
      </c>
      <c r="G13" s="91" t="s">
        <v>6</v>
      </c>
      <c r="H13" s="93">
        <f>SUM(H14:H16)</f>
        <v>0</v>
      </c>
      <c r="I13" s="93">
        <f>SUM(I14:I16)</f>
        <v>0</v>
      </c>
      <c r="J13" s="93">
        <f>H13+I13</f>
        <v>0</v>
      </c>
      <c r="K13" s="94"/>
      <c r="L13" s="93">
        <f>SUM(L14:L16)</f>
        <v>0</v>
      </c>
      <c r="M13" s="94"/>
      <c r="Y13" s="9" t="s">
        <v>66</v>
      </c>
      <c r="AI13" s="17">
        <f>SUM(Z14:Z16)</f>
        <v>0</v>
      </c>
      <c r="AJ13" s="17">
        <f>SUM(AA14:AA16)</f>
        <v>0</v>
      </c>
      <c r="AK13" s="17">
        <f>SUM(AB14:AB16)</f>
        <v>0</v>
      </c>
    </row>
    <row r="14" spans="1:48" ht="12.75">
      <c r="A14" s="95" t="s">
        <v>7</v>
      </c>
      <c r="B14" s="95" t="s">
        <v>66</v>
      </c>
      <c r="C14" s="95" t="s">
        <v>68</v>
      </c>
      <c r="D14" s="95" t="s">
        <v>141</v>
      </c>
      <c r="E14" s="95" t="s">
        <v>257</v>
      </c>
      <c r="F14" s="96">
        <v>2.21</v>
      </c>
      <c r="G14" s="96">
        <v>0</v>
      </c>
      <c r="H14" s="96">
        <f>F14*AE14</f>
        <v>0</v>
      </c>
      <c r="I14" s="96">
        <f>J14-H14</f>
        <v>0</v>
      </c>
      <c r="J14" s="96">
        <f>F14*G14</f>
        <v>0</v>
      </c>
      <c r="K14" s="96">
        <v>0</v>
      </c>
      <c r="L14" s="96">
        <f>F14*K14</f>
        <v>0</v>
      </c>
      <c r="M14" s="97" t="s">
        <v>284</v>
      </c>
      <c r="P14" s="15">
        <f>IF(AG14="5",J14,0)</f>
        <v>0</v>
      </c>
      <c r="R14" s="15">
        <f>IF(AG14="1",H14,0)</f>
        <v>0</v>
      </c>
      <c r="S14" s="15">
        <f>IF(AG14="1",I14,0)</f>
        <v>0</v>
      </c>
      <c r="T14" s="15">
        <f>IF(AG14="7",H14,0)</f>
        <v>0</v>
      </c>
      <c r="U14" s="15">
        <f>IF(AG14="7",I14,0)</f>
        <v>0</v>
      </c>
      <c r="V14" s="15">
        <f>IF(AG14="2",H14,0)</f>
        <v>0</v>
      </c>
      <c r="W14" s="15">
        <f>IF(AG14="2",I14,0)</f>
        <v>0</v>
      </c>
      <c r="X14" s="15">
        <f>IF(AG14="0",J14,0)</f>
        <v>0</v>
      </c>
      <c r="Y14" s="9" t="s">
        <v>66</v>
      </c>
      <c r="Z14" s="6">
        <f>IF(AD14=0,J14,0)</f>
        <v>0</v>
      </c>
      <c r="AA14" s="6">
        <f>IF(AD14=15,J14,0)</f>
        <v>0</v>
      </c>
      <c r="AB14" s="6">
        <f>IF(AD14=21,J14,0)</f>
        <v>0</v>
      </c>
      <c r="AD14" s="15">
        <v>21</v>
      </c>
      <c r="AE14" s="15">
        <f>G14*0</f>
        <v>0</v>
      </c>
      <c r="AF14" s="15">
        <f>G14*(1-0)</f>
        <v>0</v>
      </c>
      <c r="AG14" s="11" t="s">
        <v>7</v>
      </c>
      <c r="AM14" s="15">
        <f>F14*AE14</f>
        <v>0</v>
      </c>
      <c r="AN14" s="15">
        <f>F14*AF14</f>
        <v>0</v>
      </c>
      <c r="AO14" s="16" t="s">
        <v>296</v>
      </c>
      <c r="AP14" s="16" t="s">
        <v>308</v>
      </c>
      <c r="AQ14" s="9" t="s">
        <v>314</v>
      </c>
      <c r="AS14" s="15">
        <f>AM14+AN14</f>
        <v>0</v>
      </c>
      <c r="AT14" s="15">
        <f>G14/(100-AU14)*100</f>
        <v>0</v>
      </c>
      <c r="AU14" s="15">
        <v>0</v>
      </c>
      <c r="AV14" s="15">
        <f>L14</f>
        <v>0</v>
      </c>
    </row>
    <row r="15" spans="1:13" ht="12.75">
      <c r="A15" s="98"/>
      <c r="B15" s="98"/>
      <c r="C15" s="98"/>
      <c r="D15" s="99" t="s">
        <v>142</v>
      </c>
      <c r="E15" s="98"/>
      <c r="F15" s="100">
        <v>2.21</v>
      </c>
      <c r="G15" s="98"/>
      <c r="H15" s="98"/>
      <c r="I15" s="98"/>
      <c r="J15" s="98"/>
      <c r="K15" s="98"/>
      <c r="L15" s="98"/>
      <c r="M15" s="98"/>
    </row>
    <row r="16" spans="1:48" ht="12.75">
      <c r="A16" s="95" t="s">
        <v>8</v>
      </c>
      <c r="B16" s="95" t="s">
        <v>66</v>
      </c>
      <c r="C16" s="95" t="s">
        <v>69</v>
      </c>
      <c r="D16" s="95" t="s">
        <v>143</v>
      </c>
      <c r="E16" s="95" t="s">
        <v>257</v>
      </c>
      <c r="F16" s="96">
        <v>2.21</v>
      </c>
      <c r="G16" s="96">
        <v>0</v>
      </c>
      <c r="H16" s="96">
        <f>F16*AE16</f>
        <v>0</v>
      </c>
      <c r="I16" s="96">
        <f>J16-H16</f>
        <v>0</v>
      </c>
      <c r="J16" s="96">
        <f>F16*G16</f>
        <v>0</v>
      </c>
      <c r="K16" s="96">
        <v>0</v>
      </c>
      <c r="L16" s="96">
        <f>F16*K16</f>
        <v>0</v>
      </c>
      <c r="M16" s="97" t="s">
        <v>284</v>
      </c>
      <c r="P16" s="15">
        <f>IF(AG16="5",J16,0)</f>
        <v>0</v>
      </c>
      <c r="R16" s="15">
        <f>IF(AG16="1",H16,0)</f>
        <v>0</v>
      </c>
      <c r="S16" s="15">
        <f>IF(AG16="1",I16,0)</f>
        <v>0</v>
      </c>
      <c r="T16" s="15">
        <f>IF(AG16="7",H16,0)</f>
        <v>0</v>
      </c>
      <c r="U16" s="15">
        <f>IF(AG16="7",I16,0)</f>
        <v>0</v>
      </c>
      <c r="V16" s="15">
        <f>IF(AG16="2",H16,0)</f>
        <v>0</v>
      </c>
      <c r="W16" s="15">
        <f>IF(AG16="2",I16,0)</f>
        <v>0</v>
      </c>
      <c r="X16" s="15">
        <f>IF(AG16="0",J16,0)</f>
        <v>0</v>
      </c>
      <c r="Y16" s="9" t="s">
        <v>66</v>
      </c>
      <c r="Z16" s="6">
        <f>IF(AD16=0,J16,0)</f>
        <v>0</v>
      </c>
      <c r="AA16" s="6">
        <f>IF(AD16=15,J16,0)</f>
        <v>0</v>
      </c>
      <c r="AB16" s="6">
        <f>IF(AD16=21,J16,0)</f>
        <v>0</v>
      </c>
      <c r="AD16" s="15">
        <v>21</v>
      </c>
      <c r="AE16" s="15">
        <f>G16*0</f>
        <v>0</v>
      </c>
      <c r="AF16" s="15">
        <f>G16*(1-0)</f>
        <v>0</v>
      </c>
      <c r="AG16" s="11" t="s">
        <v>7</v>
      </c>
      <c r="AM16" s="15">
        <f>F16*AE16</f>
        <v>0</v>
      </c>
      <c r="AN16" s="15">
        <f>F16*AF16</f>
        <v>0</v>
      </c>
      <c r="AO16" s="16" t="s">
        <v>296</v>
      </c>
      <c r="AP16" s="16" t="s">
        <v>308</v>
      </c>
      <c r="AQ16" s="9" t="s">
        <v>314</v>
      </c>
      <c r="AS16" s="15">
        <f>AM16+AN16</f>
        <v>0</v>
      </c>
      <c r="AT16" s="15">
        <f>G16/(100-AU16)*100</f>
        <v>0</v>
      </c>
      <c r="AU16" s="15">
        <v>0</v>
      </c>
      <c r="AV16" s="15">
        <f>L16</f>
        <v>0</v>
      </c>
    </row>
    <row r="17" spans="1:37" ht="12.75">
      <c r="A17" s="91"/>
      <c r="B17" s="92" t="s">
        <v>66</v>
      </c>
      <c r="C17" s="92" t="s">
        <v>24</v>
      </c>
      <c r="D17" s="92" t="s">
        <v>144</v>
      </c>
      <c r="E17" s="91" t="s">
        <v>6</v>
      </c>
      <c r="F17" s="91" t="s">
        <v>6</v>
      </c>
      <c r="G17" s="91" t="s">
        <v>6</v>
      </c>
      <c r="H17" s="93">
        <f>SUM(H18:H18)</f>
        <v>0</v>
      </c>
      <c r="I17" s="93">
        <f>SUM(I18:I18)</f>
        <v>0</v>
      </c>
      <c r="J17" s="93">
        <f>H17+I17</f>
        <v>0</v>
      </c>
      <c r="K17" s="94"/>
      <c r="L17" s="93">
        <f>SUM(L18:L18)</f>
        <v>0</v>
      </c>
      <c r="M17" s="94"/>
      <c r="Y17" s="9" t="s">
        <v>66</v>
      </c>
      <c r="AI17" s="17">
        <f>SUM(Z18:Z18)</f>
        <v>0</v>
      </c>
      <c r="AJ17" s="17">
        <f>SUM(AA18:AA18)</f>
        <v>0</v>
      </c>
      <c r="AK17" s="17">
        <f>SUM(AB18:AB18)</f>
        <v>0</v>
      </c>
    </row>
    <row r="18" spans="1:48" ht="12.75">
      <c r="A18" s="95" t="s">
        <v>9</v>
      </c>
      <c r="B18" s="95" t="s">
        <v>66</v>
      </c>
      <c r="C18" s="95" t="s">
        <v>70</v>
      </c>
      <c r="D18" s="95" t="s">
        <v>145</v>
      </c>
      <c r="E18" s="95" t="s">
        <v>258</v>
      </c>
      <c r="F18" s="96">
        <v>56</v>
      </c>
      <c r="G18" s="96">
        <v>0</v>
      </c>
      <c r="H18" s="96">
        <f>F18*AE18</f>
        <v>0</v>
      </c>
      <c r="I18" s="96">
        <f>J18-H18</f>
        <v>0</v>
      </c>
      <c r="J18" s="96">
        <f>F18*G18</f>
        <v>0</v>
      </c>
      <c r="K18" s="96">
        <v>0</v>
      </c>
      <c r="L18" s="96">
        <f>F18*K18</f>
        <v>0</v>
      </c>
      <c r="M18" s="97" t="s">
        <v>284</v>
      </c>
      <c r="P18" s="15">
        <f>IF(AG18="5",J18,0)</f>
        <v>0</v>
      </c>
      <c r="R18" s="15">
        <f>IF(AG18="1",H18,0)</f>
        <v>0</v>
      </c>
      <c r="S18" s="15">
        <f>IF(AG18="1",I18,0)</f>
        <v>0</v>
      </c>
      <c r="T18" s="15">
        <f>IF(AG18="7",H18,0)</f>
        <v>0</v>
      </c>
      <c r="U18" s="15">
        <f>IF(AG18="7",I18,0)</f>
        <v>0</v>
      </c>
      <c r="V18" s="15">
        <f>IF(AG18="2",H18,0)</f>
        <v>0</v>
      </c>
      <c r="W18" s="15">
        <f>IF(AG18="2",I18,0)</f>
        <v>0</v>
      </c>
      <c r="X18" s="15">
        <f>IF(AG18="0",J18,0)</f>
        <v>0</v>
      </c>
      <c r="Y18" s="9" t="s">
        <v>66</v>
      </c>
      <c r="Z18" s="6">
        <f>IF(AD18=0,J18,0)</f>
        <v>0</v>
      </c>
      <c r="AA18" s="6">
        <f>IF(AD18=15,J18,0)</f>
        <v>0</v>
      </c>
      <c r="AB18" s="6">
        <f>IF(AD18=21,J18,0)</f>
        <v>0</v>
      </c>
      <c r="AD18" s="15">
        <v>21</v>
      </c>
      <c r="AE18" s="15">
        <f>G18*0</f>
        <v>0</v>
      </c>
      <c r="AF18" s="15">
        <f>G18*(1-0)</f>
        <v>0</v>
      </c>
      <c r="AG18" s="11" t="s">
        <v>7</v>
      </c>
      <c r="AM18" s="15">
        <f>F18*AE18</f>
        <v>0</v>
      </c>
      <c r="AN18" s="15">
        <f>F18*AF18</f>
        <v>0</v>
      </c>
      <c r="AO18" s="16" t="s">
        <v>297</v>
      </c>
      <c r="AP18" s="16" t="s">
        <v>308</v>
      </c>
      <c r="AQ18" s="9" t="s">
        <v>314</v>
      </c>
      <c r="AS18" s="15">
        <f>AM18+AN18</f>
        <v>0</v>
      </c>
      <c r="AT18" s="15">
        <f>G18/(100-AU18)*100</f>
        <v>0</v>
      </c>
      <c r="AU18" s="15">
        <v>0</v>
      </c>
      <c r="AV18" s="15">
        <f>L18</f>
        <v>0</v>
      </c>
    </row>
    <row r="19" spans="1:13" ht="12.75">
      <c r="A19" s="98"/>
      <c r="B19" s="98"/>
      <c r="C19" s="98"/>
      <c r="D19" s="99" t="s">
        <v>146</v>
      </c>
      <c r="E19" s="98"/>
      <c r="F19" s="100">
        <v>56</v>
      </c>
      <c r="G19" s="98"/>
      <c r="H19" s="98"/>
      <c r="I19" s="98"/>
      <c r="J19" s="98"/>
      <c r="K19" s="98"/>
      <c r="L19" s="98"/>
      <c r="M19" s="98"/>
    </row>
    <row r="20" spans="1:37" ht="12.75">
      <c r="A20" s="91"/>
      <c r="B20" s="92" t="s">
        <v>66</v>
      </c>
      <c r="C20" s="92" t="s">
        <v>33</v>
      </c>
      <c r="D20" s="92" t="s">
        <v>147</v>
      </c>
      <c r="E20" s="91" t="s">
        <v>6</v>
      </c>
      <c r="F20" s="91" t="s">
        <v>6</v>
      </c>
      <c r="G20" s="91" t="s">
        <v>6</v>
      </c>
      <c r="H20" s="93">
        <f>SUM(H21:H30)</f>
        <v>0</v>
      </c>
      <c r="I20" s="93">
        <f>SUM(I21:I30)</f>
        <v>0</v>
      </c>
      <c r="J20" s="93">
        <f>H20+I20</f>
        <v>0</v>
      </c>
      <c r="K20" s="94"/>
      <c r="L20" s="93">
        <f>SUM(L21:L30)</f>
        <v>5.762546400000001</v>
      </c>
      <c r="M20" s="94"/>
      <c r="Y20" s="9" t="s">
        <v>66</v>
      </c>
      <c r="AI20" s="17">
        <f>SUM(Z21:Z30)</f>
        <v>0</v>
      </c>
      <c r="AJ20" s="17">
        <f>SUM(AA21:AA30)</f>
        <v>0</v>
      </c>
      <c r="AK20" s="17">
        <f>SUM(AB21:AB30)</f>
        <v>0</v>
      </c>
    </row>
    <row r="21" spans="1:48" ht="12.75">
      <c r="A21" s="95" t="s">
        <v>10</v>
      </c>
      <c r="B21" s="95" t="s">
        <v>66</v>
      </c>
      <c r="C21" s="95" t="s">
        <v>71</v>
      </c>
      <c r="D21" s="95" t="s">
        <v>148</v>
      </c>
      <c r="E21" s="95" t="s">
        <v>257</v>
      </c>
      <c r="F21" s="96">
        <v>0.88</v>
      </c>
      <c r="G21" s="96">
        <v>0</v>
      </c>
      <c r="H21" s="96">
        <f>F21*AE21</f>
        <v>0</v>
      </c>
      <c r="I21" s="96">
        <f>J21-H21</f>
        <v>0</v>
      </c>
      <c r="J21" s="96">
        <f>F21*G21</f>
        <v>0</v>
      </c>
      <c r="K21" s="96">
        <v>1.93971</v>
      </c>
      <c r="L21" s="96">
        <f>F21*K21</f>
        <v>1.7069448</v>
      </c>
      <c r="M21" s="97" t="s">
        <v>284</v>
      </c>
      <c r="P21" s="15">
        <f>IF(AG21="5",J21,0)</f>
        <v>0</v>
      </c>
      <c r="R21" s="15">
        <f>IF(AG21="1",H21,0)</f>
        <v>0</v>
      </c>
      <c r="S21" s="15">
        <f>IF(AG21="1",I21,0)</f>
        <v>0</v>
      </c>
      <c r="T21" s="15">
        <f>IF(AG21="7",H21,0)</f>
        <v>0</v>
      </c>
      <c r="U21" s="15">
        <f>IF(AG21="7",I21,0)</f>
        <v>0</v>
      </c>
      <c r="V21" s="15">
        <f>IF(AG21="2",H21,0)</f>
        <v>0</v>
      </c>
      <c r="W21" s="15">
        <f>IF(AG21="2",I21,0)</f>
        <v>0</v>
      </c>
      <c r="X21" s="15">
        <f>IF(AG21="0",J21,0)</f>
        <v>0</v>
      </c>
      <c r="Y21" s="9" t="s">
        <v>66</v>
      </c>
      <c r="Z21" s="6">
        <f>IF(AD21=0,J21,0)</f>
        <v>0</v>
      </c>
      <c r="AA21" s="6">
        <f>IF(AD21=15,J21,0)</f>
        <v>0</v>
      </c>
      <c r="AB21" s="6">
        <f>IF(AD21=21,J21,0)</f>
        <v>0</v>
      </c>
      <c r="AD21" s="15">
        <v>21</v>
      </c>
      <c r="AE21" s="15">
        <f>G21*0.532213483146067</f>
        <v>0</v>
      </c>
      <c r="AF21" s="15">
        <f>G21*(1-0.532213483146067)</f>
        <v>0</v>
      </c>
      <c r="AG21" s="11" t="s">
        <v>7</v>
      </c>
      <c r="AM21" s="15">
        <f>F21*AE21</f>
        <v>0</v>
      </c>
      <c r="AN21" s="15">
        <f>F21*AF21</f>
        <v>0</v>
      </c>
      <c r="AO21" s="16" t="s">
        <v>298</v>
      </c>
      <c r="AP21" s="16" t="s">
        <v>309</v>
      </c>
      <c r="AQ21" s="9" t="s">
        <v>314</v>
      </c>
      <c r="AS21" s="15">
        <f>AM21+AN21</f>
        <v>0</v>
      </c>
      <c r="AT21" s="15">
        <f>G21/(100-AU21)*100</f>
        <v>0</v>
      </c>
      <c r="AU21" s="15">
        <v>0</v>
      </c>
      <c r="AV21" s="15">
        <f>L21</f>
        <v>1.7069448</v>
      </c>
    </row>
    <row r="22" spans="1:13" ht="12.75">
      <c r="A22" s="98"/>
      <c r="B22" s="98"/>
      <c r="C22" s="98"/>
      <c r="D22" s="99" t="s">
        <v>149</v>
      </c>
      <c r="E22" s="98"/>
      <c r="F22" s="100">
        <v>0.88</v>
      </c>
      <c r="G22" s="98"/>
      <c r="H22" s="98"/>
      <c r="I22" s="98"/>
      <c r="J22" s="98"/>
      <c r="K22" s="98"/>
      <c r="L22" s="98"/>
      <c r="M22" s="98"/>
    </row>
    <row r="23" spans="1:48" ht="12.75">
      <c r="A23" s="95" t="s">
        <v>11</v>
      </c>
      <c r="B23" s="95" t="s">
        <v>66</v>
      </c>
      <c r="C23" s="95" t="s">
        <v>72</v>
      </c>
      <c r="D23" s="95" t="s">
        <v>150</v>
      </c>
      <c r="E23" s="95" t="s">
        <v>257</v>
      </c>
      <c r="F23" s="96">
        <v>1.32</v>
      </c>
      <c r="G23" s="96">
        <v>0</v>
      </c>
      <c r="H23" s="96">
        <f>F23*AE23</f>
        <v>0</v>
      </c>
      <c r="I23" s="96">
        <f>J23-H23</f>
        <v>0</v>
      </c>
      <c r="J23" s="96">
        <f>F23*G23</f>
        <v>0</v>
      </c>
      <c r="K23" s="96">
        <v>2.525</v>
      </c>
      <c r="L23" s="96">
        <f>F23*K23</f>
        <v>3.333</v>
      </c>
      <c r="M23" s="97" t="s">
        <v>284</v>
      </c>
      <c r="P23" s="15">
        <f>IF(AG23="5",J23,0)</f>
        <v>0</v>
      </c>
      <c r="R23" s="15">
        <f>IF(AG23="1",H23,0)</f>
        <v>0</v>
      </c>
      <c r="S23" s="15">
        <f>IF(AG23="1",I23,0)</f>
        <v>0</v>
      </c>
      <c r="T23" s="15">
        <f>IF(AG23="7",H23,0)</f>
        <v>0</v>
      </c>
      <c r="U23" s="15">
        <f>IF(AG23="7",I23,0)</f>
        <v>0</v>
      </c>
      <c r="V23" s="15">
        <f>IF(AG23="2",H23,0)</f>
        <v>0</v>
      </c>
      <c r="W23" s="15">
        <f>IF(AG23="2",I23,0)</f>
        <v>0</v>
      </c>
      <c r="X23" s="15">
        <f>IF(AG23="0",J23,0)</f>
        <v>0</v>
      </c>
      <c r="Y23" s="9" t="s">
        <v>66</v>
      </c>
      <c r="Z23" s="6">
        <f>IF(AD23=0,J23,0)</f>
        <v>0</v>
      </c>
      <c r="AA23" s="6">
        <f>IF(AD23=15,J23,0)</f>
        <v>0</v>
      </c>
      <c r="AB23" s="6">
        <f>IF(AD23=21,J23,0)</f>
        <v>0</v>
      </c>
      <c r="AD23" s="15">
        <v>21</v>
      </c>
      <c r="AE23" s="15">
        <f>G23*0.898085192697769</f>
        <v>0</v>
      </c>
      <c r="AF23" s="15">
        <f>G23*(1-0.898085192697769)</f>
        <v>0</v>
      </c>
      <c r="AG23" s="11" t="s">
        <v>7</v>
      </c>
      <c r="AM23" s="15">
        <f>F23*AE23</f>
        <v>0</v>
      </c>
      <c r="AN23" s="15">
        <f>F23*AF23</f>
        <v>0</v>
      </c>
      <c r="AO23" s="16" t="s">
        <v>298</v>
      </c>
      <c r="AP23" s="16" t="s">
        <v>309</v>
      </c>
      <c r="AQ23" s="9" t="s">
        <v>314</v>
      </c>
      <c r="AS23" s="15">
        <f>AM23+AN23</f>
        <v>0</v>
      </c>
      <c r="AT23" s="15">
        <f>G23/(100-AU23)*100</f>
        <v>0</v>
      </c>
      <c r="AU23" s="15">
        <v>0</v>
      </c>
      <c r="AV23" s="15">
        <f>L23</f>
        <v>3.333</v>
      </c>
    </row>
    <row r="24" spans="1:13" ht="12.75">
      <c r="A24" s="98"/>
      <c r="B24" s="98"/>
      <c r="C24" s="98"/>
      <c r="D24" s="99" t="s">
        <v>151</v>
      </c>
      <c r="E24" s="98"/>
      <c r="F24" s="100">
        <v>1.32</v>
      </c>
      <c r="G24" s="98"/>
      <c r="H24" s="98"/>
      <c r="I24" s="98"/>
      <c r="J24" s="98"/>
      <c r="K24" s="98"/>
      <c r="L24" s="98"/>
      <c r="M24" s="98"/>
    </row>
    <row r="25" spans="1:48" ht="12.75">
      <c r="A25" s="95" t="s">
        <v>12</v>
      </c>
      <c r="B25" s="95" t="s">
        <v>66</v>
      </c>
      <c r="C25" s="95" t="s">
        <v>73</v>
      </c>
      <c r="D25" s="95" t="s">
        <v>152</v>
      </c>
      <c r="E25" s="95" t="s">
        <v>257</v>
      </c>
      <c r="F25" s="96">
        <v>0.27</v>
      </c>
      <c r="G25" s="96">
        <v>0</v>
      </c>
      <c r="H25" s="96">
        <f>F25*AE25</f>
        <v>0</v>
      </c>
      <c r="I25" s="96">
        <f>J25-H25</f>
        <v>0</v>
      </c>
      <c r="J25" s="96">
        <f>F25*G25</f>
        <v>0</v>
      </c>
      <c r="K25" s="96">
        <v>2.525</v>
      </c>
      <c r="L25" s="96">
        <f>F25*K25</f>
        <v>0.68175</v>
      </c>
      <c r="M25" s="97" t="s">
        <v>284</v>
      </c>
      <c r="P25" s="15">
        <f>IF(AG25="5",J25,0)</f>
        <v>0</v>
      </c>
      <c r="R25" s="15">
        <f>IF(AG25="1",H25,0)</f>
        <v>0</v>
      </c>
      <c r="S25" s="15">
        <f>IF(AG25="1",I25,0)</f>
        <v>0</v>
      </c>
      <c r="T25" s="15">
        <f>IF(AG25="7",H25,0)</f>
        <v>0</v>
      </c>
      <c r="U25" s="15">
        <f>IF(AG25="7",I25,0)</f>
        <v>0</v>
      </c>
      <c r="V25" s="15">
        <f>IF(AG25="2",H25,0)</f>
        <v>0</v>
      </c>
      <c r="W25" s="15">
        <f>IF(AG25="2",I25,0)</f>
        <v>0</v>
      </c>
      <c r="X25" s="15">
        <f>IF(AG25="0",J25,0)</f>
        <v>0</v>
      </c>
      <c r="Y25" s="9" t="s">
        <v>66</v>
      </c>
      <c r="Z25" s="6">
        <f>IF(AD25=0,J25,0)</f>
        <v>0</v>
      </c>
      <c r="AA25" s="6">
        <f>IF(AD25=15,J25,0)</f>
        <v>0</v>
      </c>
      <c r="AB25" s="6">
        <f>IF(AD25=21,J25,0)</f>
        <v>0</v>
      </c>
      <c r="AD25" s="15">
        <v>21</v>
      </c>
      <c r="AE25" s="15">
        <f>G25*0.918378464479134</f>
        <v>0</v>
      </c>
      <c r="AF25" s="15">
        <f>G25*(1-0.918378464479134)</f>
        <v>0</v>
      </c>
      <c r="AG25" s="11" t="s">
        <v>7</v>
      </c>
      <c r="AM25" s="15">
        <f>F25*AE25</f>
        <v>0</v>
      </c>
      <c r="AN25" s="15">
        <f>F25*AF25</f>
        <v>0</v>
      </c>
      <c r="AO25" s="16" t="s">
        <v>298</v>
      </c>
      <c r="AP25" s="16" t="s">
        <v>309</v>
      </c>
      <c r="AQ25" s="9" t="s">
        <v>314</v>
      </c>
      <c r="AS25" s="15">
        <f>AM25+AN25</f>
        <v>0</v>
      </c>
      <c r="AT25" s="15">
        <f>G25/(100-AU25)*100</f>
        <v>0</v>
      </c>
      <c r="AU25" s="15">
        <v>0</v>
      </c>
      <c r="AV25" s="15">
        <f>L25</f>
        <v>0.68175</v>
      </c>
    </row>
    <row r="26" spans="1:13" ht="12.75">
      <c r="A26" s="98"/>
      <c r="B26" s="98"/>
      <c r="C26" s="98"/>
      <c r="D26" s="99" t="s">
        <v>153</v>
      </c>
      <c r="E26" s="98"/>
      <c r="F26" s="100">
        <v>0.27</v>
      </c>
      <c r="G26" s="98"/>
      <c r="H26" s="98"/>
      <c r="I26" s="98"/>
      <c r="J26" s="98"/>
      <c r="K26" s="98"/>
      <c r="L26" s="98"/>
      <c r="M26" s="98"/>
    </row>
    <row r="27" spans="1:48" ht="12.75">
      <c r="A27" s="95" t="s">
        <v>13</v>
      </c>
      <c r="B27" s="95" t="s">
        <v>66</v>
      </c>
      <c r="C27" s="95" t="s">
        <v>74</v>
      </c>
      <c r="D27" s="95" t="s">
        <v>154</v>
      </c>
      <c r="E27" s="95" t="s">
        <v>258</v>
      </c>
      <c r="F27" s="96">
        <v>3.56</v>
      </c>
      <c r="G27" s="96">
        <v>0</v>
      </c>
      <c r="H27" s="96">
        <f>F27*AE27</f>
        <v>0</v>
      </c>
      <c r="I27" s="96">
        <f>J27-H27</f>
        <v>0</v>
      </c>
      <c r="J27" s="96">
        <f>F27*G27</f>
        <v>0</v>
      </c>
      <c r="K27" s="96">
        <v>0.0002</v>
      </c>
      <c r="L27" s="96">
        <f>F27*K27</f>
        <v>0.0007120000000000001</v>
      </c>
      <c r="M27" s="97" t="s">
        <v>284</v>
      </c>
      <c r="P27" s="15">
        <f>IF(AG27="5",J27,0)</f>
        <v>0</v>
      </c>
      <c r="R27" s="15">
        <f>IF(AG27="1",H27,0)</f>
        <v>0</v>
      </c>
      <c r="S27" s="15">
        <f>IF(AG27="1",I27,0)</f>
        <v>0</v>
      </c>
      <c r="T27" s="15">
        <f>IF(AG27="7",H27,0)</f>
        <v>0</v>
      </c>
      <c r="U27" s="15">
        <f>IF(AG27="7",I27,0)</f>
        <v>0</v>
      </c>
      <c r="V27" s="15">
        <f>IF(AG27="2",H27,0)</f>
        <v>0</v>
      </c>
      <c r="W27" s="15">
        <f>IF(AG27="2",I27,0)</f>
        <v>0</v>
      </c>
      <c r="X27" s="15">
        <f>IF(AG27="0",J27,0)</f>
        <v>0</v>
      </c>
      <c r="Y27" s="9" t="s">
        <v>66</v>
      </c>
      <c r="Z27" s="6">
        <f>IF(AD27=0,J27,0)</f>
        <v>0</v>
      </c>
      <c r="AA27" s="6">
        <f>IF(AD27=15,J27,0)</f>
        <v>0</v>
      </c>
      <c r="AB27" s="6">
        <f>IF(AD27=21,J27,0)</f>
        <v>0</v>
      </c>
      <c r="AD27" s="15">
        <v>21</v>
      </c>
      <c r="AE27" s="15">
        <f>G27*0.0276290322580645</f>
        <v>0</v>
      </c>
      <c r="AF27" s="15">
        <f>G27*(1-0.0276290322580645)</f>
        <v>0</v>
      </c>
      <c r="AG27" s="11" t="s">
        <v>7</v>
      </c>
      <c r="AM27" s="15">
        <f>F27*AE27</f>
        <v>0</v>
      </c>
      <c r="AN27" s="15">
        <f>F27*AF27</f>
        <v>0</v>
      </c>
      <c r="AO27" s="16" t="s">
        <v>298</v>
      </c>
      <c r="AP27" s="16" t="s">
        <v>309</v>
      </c>
      <c r="AQ27" s="9" t="s">
        <v>314</v>
      </c>
      <c r="AS27" s="15">
        <f>AM27+AN27</f>
        <v>0</v>
      </c>
      <c r="AT27" s="15">
        <f>G27/(100-AU27)*100</f>
        <v>0</v>
      </c>
      <c r="AU27" s="15">
        <v>0</v>
      </c>
      <c r="AV27" s="15">
        <f>L27</f>
        <v>0.0007120000000000001</v>
      </c>
    </row>
    <row r="28" spans="1:13" ht="12.75">
      <c r="A28" s="98"/>
      <c r="B28" s="98"/>
      <c r="C28" s="98"/>
      <c r="D28" s="99" t="s">
        <v>155</v>
      </c>
      <c r="E28" s="98"/>
      <c r="F28" s="100">
        <v>3.56</v>
      </c>
      <c r="G28" s="98"/>
      <c r="H28" s="98"/>
      <c r="I28" s="98"/>
      <c r="J28" s="98"/>
      <c r="K28" s="98"/>
      <c r="L28" s="98"/>
      <c r="M28" s="98"/>
    </row>
    <row r="29" spans="1:48" ht="12.75">
      <c r="A29" s="95" t="s">
        <v>14</v>
      </c>
      <c r="B29" s="95" t="s">
        <v>66</v>
      </c>
      <c r="C29" s="95" t="s">
        <v>75</v>
      </c>
      <c r="D29" s="95" t="s">
        <v>156</v>
      </c>
      <c r="E29" s="95" t="s">
        <v>258</v>
      </c>
      <c r="F29" s="96">
        <v>3.56</v>
      </c>
      <c r="G29" s="96">
        <v>0</v>
      </c>
      <c r="H29" s="96">
        <f>F29*AE29</f>
        <v>0</v>
      </c>
      <c r="I29" s="96">
        <f>J29-H29</f>
        <v>0</v>
      </c>
      <c r="J29" s="96">
        <f>F29*G29</f>
        <v>0</v>
      </c>
      <c r="K29" s="96">
        <v>0</v>
      </c>
      <c r="L29" s="96">
        <f>F29*K29</f>
        <v>0</v>
      </c>
      <c r="M29" s="97" t="s">
        <v>284</v>
      </c>
      <c r="P29" s="15">
        <f>IF(AG29="5",J29,0)</f>
        <v>0</v>
      </c>
      <c r="R29" s="15">
        <f>IF(AG29="1",H29,0)</f>
        <v>0</v>
      </c>
      <c r="S29" s="15">
        <f>IF(AG29="1",I29,0)</f>
        <v>0</v>
      </c>
      <c r="T29" s="15">
        <f>IF(AG29="7",H29,0)</f>
        <v>0</v>
      </c>
      <c r="U29" s="15">
        <f>IF(AG29="7",I29,0)</f>
        <v>0</v>
      </c>
      <c r="V29" s="15">
        <f>IF(AG29="2",H29,0)</f>
        <v>0</v>
      </c>
      <c r="W29" s="15">
        <f>IF(AG29="2",I29,0)</f>
        <v>0</v>
      </c>
      <c r="X29" s="15">
        <f>IF(AG29="0",J29,0)</f>
        <v>0</v>
      </c>
      <c r="Y29" s="9" t="s">
        <v>66</v>
      </c>
      <c r="Z29" s="6">
        <f>IF(AD29=0,J29,0)</f>
        <v>0</v>
      </c>
      <c r="AA29" s="6">
        <f>IF(AD29=15,J29,0)</f>
        <v>0</v>
      </c>
      <c r="AB29" s="6">
        <f>IF(AD29=21,J29,0)</f>
        <v>0</v>
      </c>
      <c r="AD29" s="15">
        <v>21</v>
      </c>
      <c r="AE29" s="15">
        <f>G29*0</f>
        <v>0</v>
      </c>
      <c r="AF29" s="15">
        <f>G29*(1-0)</f>
        <v>0</v>
      </c>
      <c r="AG29" s="11" t="s">
        <v>7</v>
      </c>
      <c r="AM29" s="15">
        <f>F29*AE29</f>
        <v>0</v>
      </c>
      <c r="AN29" s="15">
        <f>F29*AF29</f>
        <v>0</v>
      </c>
      <c r="AO29" s="16" t="s">
        <v>298</v>
      </c>
      <c r="AP29" s="16" t="s">
        <v>309</v>
      </c>
      <c r="AQ29" s="9" t="s">
        <v>314</v>
      </c>
      <c r="AS29" s="15">
        <f>AM29+AN29</f>
        <v>0</v>
      </c>
      <c r="AT29" s="15">
        <f>G29/(100-AU29)*100</f>
        <v>0</v>
      </c>
      <c r="AU29" s="15">
        <v>0</v>
      </c>
      <c r="AV29" s="15">
        <f>L29</f>
        <v>0</v>
      </c>
    </row>
    <row r="30" spans="1:48" ht="12.75">
      <c r="A30" s="95" t="s">
        <v>15</v>
      </c>
      <c r="B30" s="95" t="s">
        <v>66</v>
      </c>
      <c r="C30" s="95" t="s">
        <v>76</v>
      </c>
      <c r="D30" s="95" t="s">
        <v>157</v>
      </c>
      <c r="E30" s="95" t="s">
        <v>259</v>
      </c>
      <c r="F30" s="96">
        <v>0.04</v>
      </c>
      <c r="G30" s="96">
        <v>0</v>
      </c>
      <c r="H30" s="96">
        <f>F30*AE30</f>
        <v>0</v>
      </c>
      <c r="I30" s="96">
        <f>J30-H30</f>
        <v>0</v>
      </c>
      <c r="J30" s="96">
        <f>F30*G30</f>
        <v>0</v>
      </c>
      <c r="K30" s="96">
        <v>1.00349</v>
      </c>
      <c r="L30" s="96">
        <f>F30*K30</f>
        <v>0.0401396</v>
      </c>
      <c r="M30" s="97" t="s">
        <v>284</v>
      </c>
      <c r="P30" s="15">
        <f>IF(AG30="5",J30,0)</f>
        <v>0</v>
      </c>
      <c r="R30" s="15">
        <f>IF(AG30="1",H30,0)</f>
        <v>0</v>
      </c>
      <c r="S30" s="15">
        <f>IF(AG30="1",I30,0)</f>
        <v>0</v>
      </c>
      <c r="T30" s="15">
        <f>IF(AG30="7",H30,0)</f>
        <v>0</v>
      </c>
      <c r="U30" s="15">
        <f>IF(AG30="7",I30,0)</f>
        <v>0</v>
      </c>
      <c r="V30" s="15">
        <f>IF(AG30="2",H30,0)</f>
        <v>0</v>
      </c>
      <c r="W30" s="15">
        <f>IF(AG30="2",I30,0)</f>
        <v>0</v>
      </c>
      <c r="X30" s="15">
        <f>IF(AG30="0",J30,0)</f>
        <v>0</v>
      </c>
      <c r="Y30" s="9" t="s">
        <v>66</v>
      </c>
      <c r="Z30" s="6">
        <f>IF(AD30=0,J30,0)</f>
        <v>0</v>
      </c>
      <c r="AA30" s="6">
        <f>IF(AD30=15,J30,0)</f>
        <v>0</v>
      </c>
      <c r="AB30" s="6">
        <f>IF(AD30=21,J30,0)</f>
        <v>0</v>
      </c>
      <c r="AD30" s="15">
        <v>21</v>
      </c>
      <c r="AE30" s="15">
        <f>G30*0.514337445175439</f>
        <v>0</v>
      </c>
      <c r="AF30" s="15">
        <f>G30*(1-0.514337445175439)</f>
        <v>0</v>
      </c>
      <c r="AG30" s="11" t="s">
        <v>7</v>
      </c>
      <c r="AM30" s="15">
        <f>F30*AE30</f>
        <v>0</v>
      </c>
      <c r="AN30" s="15">
        <f>F30*AF30</f>
        <v>0</v>
      </c>
      <c r="AO30" s="16" t="s">
        <v>298</v>
      </c>
      <c r="AP30" s="16" t="s">
        <v>309</v>
      </c>
      <c r="AQ30" s="9" t="s">
        <v>314</v>
      </c>
      <c r="AS30" s="15">
        <f>AM30+AN30</f>
        <v>0</v>
      </c>
      <c r="AT30" s="15">
        <f>G30/(100-AU30)*100</f>
        <v>0</v>
      </c>
      <c r="AU30" s="15">
        <v>0</v>
      </c>
      <c r="AV30" s="15">
        <f>L30</f>
        <v>0.0401396</v>
      </c>
    </row>
    <row r="31" spans="1:37" ht="12.75">
      <c r="A31" s="91"/>
      <c r="B31" s="92" t="s">
        <v>66</v>
      </c>
      <c r="C31" s="92" t="s">
        <v>77</v>
      </c>
      <c r="D31" s="92" t="s">
        <v>158</v>
      </c>
      <c r="E31" s="91" t="s">
        <v>6</v>
      </c>
      <c r="F31" s="91" t="s">
        <v>6</v>
      </c>
      <c r="G31" s="91" t="s">
        <v>6</v>
      </c>
      <c r="H31" s="93">
        <f>SUM(H32:H61)</f>
        <v>0</v>
      </c>
      <c r="I31" s="93">
        <f>SUM(I32:I61)</f>
        <v>0</v>
      </c>
      <c r="J31" s="93">
        <f>H31+I31</f>
        <v>0</v>
      </c>
      <c r="K31" s="94"/>
      <c r="L31" s="93">
        <f>SUM(L32:L61)</f>
        <v>3.0812929999999996</v>
      </c>
      <c r="M31" s="94"/>
      <c r="Y31" s="9" t="s">
        <v>66</v>
      </c>
      <c r="AI31" s="17">
        <f>SUM(Z32:Z61)</f>
        <v>0</v>
      </c>
      <c r="AJ31" s="17">
        <f>SUM(AA32:AA61)</f>
        <v>0</v>
      </c>
      <c r="AK31" s="17">
        <f>SUM(AB32:AB61)</f>
        <v>0</v>
      </c>
    </row>
    <row r="32" spans="1:48" ht="12.75">
      <c r="A32" s="95" t="s">
        <v>16</v>
      </c>
      <c r="B32" s="95" t="s">
        <v>66</v>
      </c>
      <c r="C32" s="95" t="s">
        <v>78</v>
      </c>
      <c r="D32" s="95" t="s">
        <v>159</v>
      </c>
      <c r="E32" s="95" t="s">
        <v>258</v>
      </c>
      <c r="F32" s="96">
        <v>43.4</v>
      </c>
      <c r="G32" s="96">
        <v>0</v>
      </c>
      <c r="H32" s="96">
        <f>F32*AE32</f>
        <v>0</v>
      </c>
      <c r="I32" s="96">
        <f>J32-H32</f>
        <v>0</v>
      </c>
      <c r="J32" s="96">
        <f>F32*G32</f>
        <v>0</v>
      </c>
      <c r="K32" s="96">
        <v>0.02257</v>
      </c>
      <c r="L32" s="96">
        <f>F32*K32</f>
        <v>0.9795379999999999</v>
      </c>
      <c r="M32" s="97" t="s">
        <v>284</v>
      </c>
      <c r="P32" s="15">
        <f>IF(AG32="5",J32,0)</f>
        <v>0</v>
      </c>
      <c r="R32" s="15">
        <f>IF(AG32="1",H32,0)</f>
        <v>0</v>
      </c>
      <c r="S32" s="15">
        <f>IF(AG32="1",I32,0)</f>
        <v>0</v>
      </c>
      <c r="T32" s="15">
        <f>IF(AG32="7",H32,0)</f>
        <v>0</v>
      </c>
      <c r="U32" s="15">
        <f>IF(AG32="7",I32,0)</f>
        <v>0</v>
      </c>
      <c r="V32" s="15">
        <f>IF(AG32="2",H32,0)</f>
        <v>0</v>
      </c>
      <c r="W32" s="15">
        <f>IF(AG32="2",I32,0)</f>
        <v>0</v>
      </c>
      <c r="X32" s="15">
        <f>IF(AG32="0",J32,0)</f>
        <v>0</v>
      </c>
      <c r="Y32" s="9" t="s">
        <v>66</v>
      </c>
      <c r="Z32" s="6">
        <f>IF(AD32=0,J32,0)</f>
        <v>0</v>
      </c>
      <c r="AA32" s="6">
        <f>IF(AD32=15,J32,0)</f>
        <v>0</v>
      </c>
      <c r="AB32" s="6">
        <f>IF(AD32=21,J32,0)</f>
        <v>0</v>
      </c>
      <c r="AD32" s="15">
        <v>21</v>
      </c>
      <c r="AE32" s="15">
        <f>G32*0.74589928057554</f>
        <v>0</v>
      </c>
      <c r="AF32" s="15">
        <f>G32*(1-0.74589928057554)</f>
        <v>0</v>
      </c>
      <c r="AG32" s="11" t="s">
        <v>13</v>
      </c>
      <c r="AM32" s="15">
        <f>F32*AE32</f>
        <v>0</v>
      </c>
      <c r="AN32" s="15">
        <f>F32*AF32</f>
        <v>0</v>
      </c>
      <c r="AO32" s="16" t="s">
        <v>299</v>
      </c>
      <c r="AP32" s="16" t="s">
        <v>310</v>
      </c>
      <c r="AQ32" s="9" t="s">
        <v>314</v>
      </c>
      <c r="AS32" s="15">
        <f>AM32+AN32</f>
        <v>0</v>
      </c>
      <c r="AT32" s="15">
        <f>G32/(100-AU32)*100</f>
        <v>0</v>
      </c>
      <c r="AU32" s="15">
        <v>0</v>
      </c>
      <c r="AV32" s="15">
        <f>L32</f>
        <v>0.9795379999999999</v>
      </c>
    </row>
    <row r="33" spans="1:13" ht="12.75">
      <c r="A33" s="98"/>
      <c r="B33" s="98"/>
      <c r="C33" s="98"/>
      <c r="D33" s="99" t="s">
        <v>160</v>
      </c>
      <c r="E33" s="98"/>
      <c r="F33" s="100">
        <v>43.4</v>
      </c>
      <c r="G33" s="98"/>
      <c r="H33" s="98"/>
      <c r="I33" s="98"/>
      <c r="J33" s="98"/>
      <c r="K33" s="98"/>
      <c r="L33" s="98"/>
      <c r="M33" s="98"/>
    </row>
    <row r="34" spans="1:48" ht="12.75">
      <c r="A34" s="95" t="s">
        <v>17</v>
      </c>
      <c r="B34" s="95" t="s">
        <v>66</v>
      </c>
      <c r="C34" s="95" t="s">
        <v>79</v>
      </c>
      <c r="D34" s="95" t="s">
        <v>161</v>
      </c>
      <c r="E34" s="95" t="s">
        <v>257</v>
      </c>
      <c r="F34" s="96">
        <v>1.74</v>
      </c>
      <c r="G34" s="96">
        <v>0</v>
      </c>
      <c r="H34" s="96">
        <f>F34*AE34</f>
        <v>0</v>
      </c>
      <c r="I34" s="96">
        <f>J34-H34</f>
        <v>0</v>
      </c>
      <c r="J34" s="96">
        <f>F34*G34</f>
        <v>0</v>
      </c>
      <c r="K34" s="96">
        <v>0.00295</v>
      </c>
      <c r="L34" s="96">
        <f>F34*K34</f>
        <v>0.0051329999999999995</v>
      </c>
      <c r="M34" s="97" t="s">
        <v>284</v>
      </c>
      <c r="P34" s="15">
        <f>IF(AG34="5",J34,0)</f>
        <v>0</v>
      </c>
      <c r="R34" s="15">
        <f>IF(AG34="1",H34,0)</f>
        <v>0</v>
      </c>
      <c r="S34" s="15">
        <f>IF(AG34="1",I34,0)</f>
        <v>0</v>
      </c>
      <c r="T34" s="15">
        <f>IF(AG34="7",H34,0)</f>
        <v>0</v>
      </c>
      <c r="U34" s="15">
        <f>IF(AG34="7",I34,0)</f>
        <v>0</v>
      </c>
      <c r="V34" s="15">
        <f>IF(AG34="2",H34,0)</f>
        <v>0</v>
      </c>
      <c r="W34" s="15">
        <f>IF(AG34="2",I34,0)</f>
        <v>0</v>
      </c>
      <c r="X34" s="15">
        <f>IF(AG34="0",J34,0)</f>
        <v>0</v>
      </c>
      <c r="Y34" s="9" t="s">
        <v>66</v>
      </c>
      <c r="Z34" s="6">
        <f>IF(AD34=0,J34,0)</f>
        <v>0</v>
      </c>
      <c r="AA34" s="6">
        <f>IF(AD34=15,J34,0)</f>
        <v>0</v>
      </c>
      <c r="AB34" s="6">
        <f>IF(AD34=21,J34,0)</f>
        <v>0</v>
      </c>
      <c r="AD34" s="15">
        <v>21</v>
      </c>
      <c r="AE34" s="15">
        <f>G34*0.999850746268657</f>
        <v>0</v>
      </c>
      <c r="AF34" s="15">
        <f>G34*(1-0.999850746268657)</f>
        <v>0</v>
      </c>
      <c r="AG34" s="11" t="s">
        <v>13</v>
      </c>
      <c r="AM34" s="15">
        <f>F34*AE34</f>
        <v>0</v>
      </c>
      <c r="AN34" s="15">
        <f>F34*AF34</f>
        <v>0</v>
      </c>
      <c r="AO34" s="16" t="s">
        <v>299</v>
      </c>
      <c r="AP34" s="16" t="s">
        <v>310</v>
      </c>
      <c r="AQ34" s="9" t="s">
        <v>314</v>
      </c>
      <c r="AS34" s="15">
        <f>AM34+AN34</f>
        <v>0</v>
      </c>
      <c r="AT34" s="15">
        <f>G34/(100-AU34)*100</f>
        <v>0</v>
      </c>
      <c r="AU34" s="15">
        <v>0</v>
      </c>
      <c r="AV34" s="15">
        <f>L34</f>
        <v>0.0051329999999999995</v>
      </c>
    </row>
    <row r="35" spans="1:13" ht="12.75">
      <c r="A35" s="98"/>
      <c r="B35" s="98"/>
      <c r="C35" s="98"/>
      <c r="D35" s="99" t="s">
        <v>162</v>
      </c>
      <c r="E35" s="98"/>
      <c r="F35" s="100">
        <v>1.74</v>
      </c>
      <c r="G35" s="98"/>
      <c r="H35" s="98"/>
      <c r="I35" s="98"/>
      <c r="J35" s="98"/>
      <c r="K35" s="98"/>
      <c r="L35" s="98"/>
      <c r="M35" s="98"/>
    </row>
    <row r="36" spans="1:48" ht="12.75">
      <c r="A36" s="95" t="s">
        <v>18</v>
      </c>
      <c r="B36" s="95" t="s">
        <v>66</v>
      </c>
      <c r="C36" s="95" t="s">
        <v>80</v>
      </c>
      <c r="D36" s="95" t="s">
        <v>163</v>
      </c>
      <c r="E36" s="95" t="s">
        <v>260</v>
      </c>
      <c r="F36" s="96">
        <v>50.8</v>
      </c>
      <c r="G36" s="96">
        <v>0</v>
      </c>
      <c r="H36" s="96">
        <f>F36*AE36</f>
        <v>0</v>
      </c>
      <c r="I36" s="96">
        <f>J36-H36</f>
        <v>0</v>
      </c>
      <c r="J36" s="96">
        <f>F36*G36</f>
        <v>0</v>
      </c>
      <c r="K36" s="96">
        <v>0.01585</v>
      </c>
      <c r="L36" s="96">
        <f>F36*K36</f>
        <v>0.8051799999999999</v>
      </c>
      <c r="M36" s="97" t="s">
        <v>284</v>
      </c>
      <c r="P36" s="15">
        <f>IF(AG36="5",J36,0)</f>
        <v>0</v>
      </c>
      <c r="R36" s="15">
        <f>IF(AG36="1",H36,0)</f>
        <v>0</v>
      </c>
      <c r="S36" s="15">
        <f>IF(AG36="1",I36,0)</f>
        <v>0</v>
      </c>
      <c r="T36" s="15">
        <f>IF(AG36="7",H36,0)</f>
        <v>0</v>
      </c>
      <c r="U36" s="15">
        <f>IF(AG36="7",I36,0)</f>
        <v>0</v>
      </c>
      <c r="V36" s="15">
        <f>IF(AG36="2",H36,0)</f>
        <v>0</v>
      </c>
      <c r="W36" s="15">
        <f>IF(AG36="2",I36,0)</f>
        <v>0</v>
      </c>
      <c r="X36" s="15">
        <f>IF(AG36="0",J36,0)</f>
        <v>0</v>
      </c>
      <c r="Y36" s="9" t="s">
        <v>66</v>
      </c>
      <c r="Z36" s="6">
        <f>IF(AD36=0,J36,0)</f>
        <v>0</v>
      </c>
      <c r="AA36" s="6">
        <f>IF(AD36=15,J36,0)</f>
        <v>0</v>
      </c>
      <c r="AB36" s="6">
        <f>IF(AD36=21,J36,0)</f>
        <v>0</v>
      </c>
      <c r="AD36" s="15">
        <v>21</v>
      </c>
      <c r="AE36" s="15">
        <f>G36*0.405498839907193</f>
        <v>0</v>
      </c>
      <c r="AF36" s="15">
        <f>G36*(1-0.405498839907193)</f>
        <v>0</v>
      </c>
      <c r="AG36" s="11" t="s">
        <v>13</v>
      </c>
      <c r="AM36" s="15">
        <f>F36*AE36</f>
        <v>0</v>
      </c>
      <c r="AN36" s="15">
        <f>F36*AF36</f>
        <v>0</v>
      </c>
      <c r="AO36" s="16" t="s">
        <v>299</v>
      </c>
      <c r="AP36" s="16" t="s">
        <v>310</v>
      </c>
      <c r="AQ36" s="9" t="s">
        <v>314</v>
      </c>
      <c r="AS36" s="15">
        <f>AM36+AN36</f>
        <v>0</v>
      </c>
      <c r="AT36" s="15">
        <f>G36/(100-AU36)*100</f>
        <v>0</v>
      </c>
      <c r="AU36" s="15">
        <v>0</v>
      </c>
      <c r="AV36" s="15">
        <f>L36</f>
        <v>0.8051799999999999</v>
      </c>
    </row>
    <row r="37" spans="1:13" ht="12.75">
      <c r="A37" s="98"/>
      <c r="B37" s="98"/>
      <c r="C37" s="98"/>
      <c r="D37" s="99" t="s">
        <v>164</v>
      </c>
      <c r="E37" s="98"/>
      <c r="F37" s="100">
        <v>50.8</v>
      </c>
      <c r="G37" s="98"/>
      <c r="H37" s="98"/>
      <c r="I37" s="98"/>
      <c r="J37" s="98"/>
      <c r="K37" s="98"/>
      <c r="L37" s="98"/>
      <c r="M37" s="98"/>
    </row>
    <row r="38" spans="1:48" ht="12.75">
      <c r="A38" s="95" t="s">
        <v>19</v>
      </c>
      <c r="B38" s="95" t="s">
        <v>66</v>
      </c>
      <c r="C38" s="95" t="s">
        <v>81</v>
      </c>
      <c r="D38" s="95" t="s">
        <v>165</v>
      </c>
      <c r="E38" s="95" t="s">
        <v>260</v>
      </c>
      <c r="F38" s="96">
        <v>21.9</v>
      </c>
      <c r="G38" s="96">
        <v>0</v>
      </c>
      <c r="H38" s="96">
        <f>F38*AE38</f>
        <v>0</v>
      </c>
      <c r="I38" s="96">
        <f>J38-H38</f>
        <v>0</v>
      </c>
      <c r="J38" s="96">
        <f>F38*G38</f>
        <v>0</v>
      </c>
      <c r="K38" s="96">
        <v>0.02346</v>
      </c>
      <c r="L38" s="96">
        <f>F38*K38</f>
        <v>0.513774</v>
      </c>
      <c r="M38" s="97" t="s">
        <v>284</v>
      </c>
      <c r="P38" s="15">
        <f>IF(AG38="5",J38,0)</f>
        <v>0</v>
      </c>
      <c r="R38" s="15">
        <f>IF(AG38="1",H38,0)</f>
        <v>0</v>
      </c>
      <c r="S38" s="15">
        <f>IF(AG38="1",I38,0)</f>
        <v>0</v>
      </c>
      <c r="T38" s="15">
        <f>IF(AG38="7",H38,0)</f>
        <v>0</v>
      </c>
      <c r="U38" s="15">
        <f>IF(AG38="7",I38,0)</f>
        <v>0</v>
      </c>
      <c r="V38" s="15">
        <f>IF(AG38="2",H38,0)</f>
        <v>0</v>
      </c>
      <c r="W38" s="15">
        <f>IF(AG38="2",I38,0)</f>
        <v>0</v>
      </c>
      <c r="X38" s="15">
        <f>IF(AG38="0",J38,0)</f>
        <v>0</v>
      </c>
      <c r="Y38" s="9" t="s">
        <v>66</v>
      </c>
      <c r="Z38" s="6">
        <f>IF(AD38=0,J38,0)</f>
        <v>0</v>
      </c>
      <c r="AA38" s="6">
        <f>IF(AD38=15,J38,0)</f>
        <v>0</v>
      </c>
      <c r="AB38" s="6">
        <f>IF(AD38=21,J38,0)</f>
        <v>0</v>
      </c>
      <c r="AD38" s="15">
        <v>21</v>
      </c>
      <c r="AE38" s="15">
        <f>G38*0.448774583963691</f>
        <v>0</v>
      </c>
      <c r="AF38" s="15">
        <f>G38*(1-0.448774583963691)</f>
        <v>0</v>
      </c>
      <c r="AG38" s="11" t="s">
        <v>13</v>
      </c>
      <c r="AM38" s="15">
        <f>F38*AE38</f>
        <v>0</v>
      </c>
      <c r="AN38" s="15">
        <f>F38*AF38</f>
        <v>0</v>
      </c>
      <c r="AO38" s="16" t="s">
        <v>299</v>
      </c>
      <c r="AP38" s="16" t="s">
        <v>310</v>
      </c>
      <c r="AQ38" s="9" t="s">
        <v>314</v>
      </c>
      <c r="AS38" s="15">
        <f>AM38+AN38</f>
        <v>0</v>
      </c>
      <c r="AT38" s="15">
        <f>G38/(100-AU38)*100</f>
        <v>0</v>
      </c>
      <c r="AU38" s="15">
        <v>0</v>
      </c>
      <c r="AV38" s="15">
        <f>L38</f>
        <v>0.513774</v>
      </c>
    </row>
    <row r="39" spans="1:13" ht="12.75">
      <c r="A39" s="98"/>
      <c r="B39" s="98"/>
      <c r="C39" s="98"/>
      <c r="D39" s="99" t="s">
        <v>166</v>
      </c>
      <c r="E39" s="98"/>
      <c r="F39" s="100">
        <v>21.9</v>
      </c>
      <c r="G39" s="98"/>
      <c r="H39" s="98"/>
      <c r="I39" s="98"/>
      <c r="J39" s="98"/>
      <c r="K39" s="98"/>
      <c r="L39" s="98"/>
      <c r="M39" s="98"/>
    </row>
    <row r="40" spans="1:48" ht="12.75">
      <c r="A40" s="95" t="s">
        <v>20</v>
      </c>
      <c r="B40" s="95" t="s">
        <v>66</v>
      </c>
      <c r="C40" s="95" t="s">
        <v>82</v>
      </c>
      <c r="D40" s="95" t="s">
        <v>167</v>
      </c>
      <c r="E40" s="95" t="s">
        <v>257</v>
      </c>
      <c r="F40" s="96">
        <v>1.76</v>
      </c>
      <c r="G40" s="96">
        <v>0</v>
      </c>
      <c r="H40" s="96">
        <f>F40*AE40</f>
        <v>0</v>
      </c>
      <c r="I40" s="96">
        <f>J40-H40</f>
        <v>0</v>
      </c>
      <c r="J40" s="96">
        <f>F40*G40</f>
        <v>0</v>
      </c>
      <c r="K40" s="96">
        <v>0.0291</v>
      </c>
      <c r="L40" s="96">
        <f>F40*K40</f>
        <v>0.051216000000000005</v>
      </c>
      <c r="M40" s="97" t="s">
        <v>284</v>
      </c>
      <c r="P40" s="15">
        <f>IF(AG40="5",J40,0)</f>
        <v>0</v>
      </c>
      <c r="R40" s="15">
        <f>IF(AG40="1",H40,0)</f>
        <v>0</v>
      </c>
      <c r="S40" s="15">
        <f>IF(AG40="1",I40,0)</f>
        <v>0</v>
      </c>
      <c r="T40" s="15">
        <f>IF(AG40="7",H40,0)</f>
        <v>0</v>
      </c>
      <c r="U40" s="15">
        <f>IF(AG40="7",I40,0)</f>
        <v>0</v>
      </c>
      <c r="V40" s="15">
        <f>IF(AG40="2",H40,0)</f>
        <v>0</v>
      </c>
      <c r="W40" s="15">
        <f>IF(AG40="2",I40,0)</f>
        <v>0</v>
      </c>
      <c r="X40" s="15">
        <f>IF(AG40="0",J40,0)</f>
        <v>0</v>
      </c>
      <c r="Y40" s="9" t="s">
        <v>66</v>
      </c>
      <c r="Z40" s="6">
        <f>IF(AD40=0,J40,0)</f>
        <v>0</v>
      </c>
      <c r="AA40" s="6">
        <f>IF(AD40=15,J40,0)</f>
        <v>0</v>
      </c>
      <c r="AB40" s="6">
        <f>IF(AD40=21,J40,0)</f>
        <v>0</v>
      </c>
      <c r="AD40" s="15">
        <v>21</v>
      </c>
      <c r="AE40" s="15">
        <f>G40*0.999973294164775</f>
        <v>0</v>
      </c>
      <c r="AF40" s="15">
        <f>G40*(1-0.999973294164775)</f>
        <v>0</v>
      </c>
      <c r="AG40" s="11" t="s">
        <v>13</v>
      </c>
      <c r="AM40" s="15">
        <f>F40*AE40</f>
        <v>0</v>
      </c>
      <c r="AN40" s="15">
        <f>F40*AF40</f>
        <v>0</v>
      </c>
      <c r="AO40" s="16" t="s">
        <v>299</v>
      </c>
      <c r="AP40" s="16" t="s">
        <v>310</v>
      </c>
      <c r="AQ40" s="9" t="s">
        <v>314</v>
      </c>
      <c r="AS40" s="15">
        <f>AM40+AN40</f>
        <v>0</v>
      </c>
      <c r="AT40" s="15">
        <f>G40/(100-AU40)*100</f>
        <v>0</v>
      </c>
      <c r="AU40" s="15">
        <v>0</v>
      </c>
      <c r="AV40" s="15">
        <f>L40</f>
        <v>0.051216000000000005</v>
      </c>
    </row>
    <row r="41" spans="1:13" ht="12.75">
      <c r="A41" s="98"/>
      <c r="B41" s="98"/>
      <c r="C41" s="98"/>
      <c r="D41" s="99" t="s">
        <v>168</v>
      </c>
      <c r="E41" s="98"/>
      <c r="F41" s="100">
        <v>1.02</v>
      </c>
      <c r="G41" s="98"/>
      <c r="H41" s="98"/>
      <c r="I41" s="98"/>
      <c r="J41" s="98"/>
      <c r="K41" s="98"/>
      <c r="L41" s="98"/>
      <c r="M41" s="98"/>
    </row>
    <row r="42" spans="1:13" ht="12.75">
      <c r="A42" s="98"/>
      <c r="B42" s="98"/>
      <c r="C42" s="98"/>
      <c r="D42" s="99" t="s">
        <v>169</v>
      </c>
      <c r="E42" s="98"/>
      <c r="F42" s="100">
        <v>0.74</v>
      </c>
      <c r="G42" s="98"/>
      <c r="H42" s="98"/>
      <c r="I42" s="98"/>
      <c r="J42" s="98"/>
      <c r="K42" s="98"/>
      <c r="L42" s="98"/>
      <c r="M42" s="98"/>
    </row>
    <row r="43" spans="1:48" ht="12.75">
      <c r="A43" s="95" t="s">
        <v>21</v>
      </c>
      <c r="B43" s="95" t="s">
        <v>66</v>
      </c>
      <c r="C43" s="95" t="s">
        <v>83</v>
      </c>
      <c r="D43" s="95" t="s">
        <v>170</v>
      </c>
      <c r="E43" s="95" t="s">
        <v>260</v>
      </c>
      <c r="F43" s="96">
        <v>21.2</v>
      </c>
      <c r="G43" s="96">
        <v>0</v>
      </c>
      <c r="H43" s="96">
        <f>F43*AE43</f>
        <v>0</v>
      </c>
      <c r="I43" s="96">
        <f>J43-H43</f>
        <v>0</v>
      </c>
      <c r="J43" s="96">
        <f>F43*G43</f>
        <v>0</v>
      </c>
      <c r="K43" s="96">
        <v>0.00746</v>
      </c>
      <c r="L43" s="96">
        <f>F43*K43</f>
        <v>0.158152</v>
      </c>
      <c r="M43" s="97" t="s">
        <v>284</v>
      </c>
      <c r="P43" s="15">
        <f>IF(AG43="5",J43,0)</f>
        <v>0</v>
      </c>
      <c r="R43" s="15">
        <f>IF(AG43="1",H43,0)</f>
        <v>0</v>
      </c>
      <c r="S43" s="15">
        <f>IF(AG43="1",I43,0)</f>
        <v>0</v>
      </c>
      <c r="T43" s="15">
        <f>IF(AG43="7",H43,0)</f>
        <v>0</v>
      </c>
      <c r="U43" s="15">
        <f>IF(AG43="7",I43,0)</f>
        <v>0</v>
      </c>
      <c r="V43" s="15">
        <f>IF(AG43="2",H43,0)</f>
        <v>0</v>
      </c>
      <c r="W43" s="15">
        <f>IF(AG43="2",I43,0)</f>
        <v>0</v>
      </c>
      <c r="X43" s="15">
        <f>IF(AG43="0",J43,0)</f>
        <v>0</v>
      </c>
      <c r="Y43" s="9" t="s">
        <v>66</v>
      </c>
      <c r="Z43" s="6">
        <f>IF(AD43=0,J43,0)</f>
        <v>0</v>
      </c>
      <c r="AA43" s="6">
        <f>IF(AD43=15,J43,0)</f>
        <v>0</v>
      </c>
      <c r="AB43" s="6">
        <f>IF(AD43=21,J43,0)</f>
        <v>0</v>
      </c>
      <c r="AD43" s="15">
        <v>21</v>
      </c>
      <c r="AE43" s="15">
        <f>G43*0.483919819643207</f>
        <v>0</v>
      </c>
      <c r="AF43" s="15">
        <f>G43*(1-0.483919819643207)</f>
        <v>0</v>
      </c>
      <c r="AG43" s="11" t="s">
        <v>13</v>
      </c>
      <c r="AM43" s="15">
        <f>F43*AE43</f>
        <v>0</v>
      </c>
      <c r="AN43" s="15">
        <f>F43*AF43</f>
        <v>0</v>
      </c>
      <c r="AO43" s="16" t="s">
        <v>299</v>
      </c>
      <c r="AP43" s="16" t="s">
        <v>310</v>
      </c>
      <c r="AQ43" s="9" t="s">
        <v>314</v>
      </c>
      <c r="AS43" s="15">
        <f>AM43+AN43</f>
        <v>0</v>
      </c>
      <c r="AT43" s="15">
        <f>G43/(100-AU43)*100</f>
        <v>0</v>
      </c>
      <c r="AU43" s="15">
        <v>0</v>
      </c>
      <c r="AV43" s="15">
        <f>L43</f>
        <v>0.158152</v>
      </c>
    </row>
    <row r="44" spans="1:13" ht="12.75">
      <c r="A44" s="98"/>
      <c r="B44" s="98"/>
      <c r="C44" s="98"/>
      <c r="D44" s="99" t="s">
        <v>171</v>
      </c>
      <c r="E44" s="98"/>
      <c r="F44" s="100">
        <v>15.6</v>
      </c>
      <c r="G44" s="98"/>
      <c r="H44" s="98"/>
      <c r="I44" s="98"/>
      <c r="J44" s="98"/>
      <c r="K44" s="98"/>
      <c r="L44" s="98"/>
      <c r="M44" s="98"/>
    </row>
    <row r="45" spans="1:13" ht="12.75">
      <c r="A45" s="98"/>
      <c r="B45" s="98"/>
      <c r="C45" s="98"/>
      <c r="D45" s="99" t="s">
        <v>172</v>
      </c>
      <c r="E45" s="98"/>
      <c r="F45" s="100">
        <v>5.6</v>
      </c>
      <c r="G45" s="98"/>
      <c r="H45" s="98"/>
      <c r="I45" s="98"/>
      <c r="J45" s="98"/>
      <c r="K45" s="98"/>
      <c r="L45" s="98"/>
      <c r="M45" s="98"/>
    </row>
    <row r="46" spans="1:48" ht="12.75">
      <c r="A46" s="95" t="s">
        <v>22</v>
      </c>
      <c r="B46" s="95" t="s">
        <v>66</v>
      </c>
      <c r="C46" s="95" t="s">
        <v>84</v>
      </c>
      <c r="D46" s="95" t="s">
        <v>173</v>
      </c>
      <c r="E46" s="95" t="s">
        <v>260</v>
      </c>
      <c r="F46" s="96">
        <v>21.2</v>
      </c>
      <c r="G46" s="96">
        <v>0</v>
      </c>
      <c r="H46" s="96">
        <f>F46*AE46</f>
        <v>0</v>
      </c>
      <c r="I46" s="96">
        <f>J46-H46</f>
        <v>0</v>
      </c>
      <c r="J46" s="96">
        <f>F46*G46</f>
        <v>0</v>
      </c>
      <c r="K46" s="96">
        <v>0</v>
      </c>
      <c r="L46" s="96">
        <f>F46*K46</f>
        <v>0</v>
      </c>
      <c r="M46" s="97" t="s">
        <v>284</v>
      </c>
      <c r="P46" s="15">
        <f>IF(AG46="5",J46,0)</f>
        <v>0</v>
      </c>
      <c r="R46" s="15">
        <f>IF(AG46="1",H46,0)</f>
        <v>0</v>
      </c>
      <c r="S46" s="15">
        <f>IF(AG46="1",I46,0)</f>
        <v>0</v>
      </c>
      <c r="T46" s="15">
        <f>IF(AG46="7",H46,0)</f>
        <v>0</v>
      </c>
      <c r="U46" s="15">
        <f>IF(AG46="7",I46,0)</f>
        <v>0</v>
      </c>
      <c r="V46" s="15">
        <f>IF(AG46="2",H46,0)</f>
        <v>0</v>
      </c>
      <c r="W46" s="15">
        <f>IF(AG46="2",I46,0)</f>
        <v>0</v>
      </c>
      <c r="X46" s="15">
        <f>IF(AG46="0",J46,0)</f>
        <v>0</v>
      </c>
      <c r="Y46" s="9" t="s">
        <v>66</v>
      </c>
      <c r="Z46" s="6">
        <f>IF(AD46=0,J46,0)</f>
        <v>0</v>
      </c>
      <c r="AA46" s="6">
        <f>IF(AD46=15,J46,0)</f>
        <v>0</v>
      </c>
      <c r="AB46" s="6">
        <f>IF(AD46=21,J46,0)</f>
        <v>0</v>
      </c>
      <c r="AD46" s="15">
        <v>21</v>
      </c>
      <c r="AE46" s="15">
        <f>G46*0</f>
        <v>0</v>
      </c>
      <c r="AF46" s="15">
        <f>G46*(1-0)</f>
        <v>0</v>
      </c>
      <c r="AG46" s="11" t="s">
        <v>13</v>
      </c>
      <c r="AM46" s="15">
        <f>F46*AE46</f>
        <v>0</v>
      </c>
      <c r="AN46" s="15">
        <f>F46*AF46</f>
        <v>0</v>
      </c>
      <c r="AO46" s="16" t="s">
        <v>299</v>
      </c>
      <c r="AP46" s="16" t="s">
        <v>310</v>
      </c>
      <c r="AQ46" s="9" t="s">
        <v>314</v>
      </c>
      <c r="AS46" s="15">
        <f>AM46+AN46</f>
        <v>0</v>
      </c>
      <c r="AT46" s="15">
        <f>G46/(100-AU46)*100</f>
        <v>0</v>
      </c>
      <c r="AU46" s="15">
        <v>0</v>
      </c>
      <c r="AV46" s="15">
        <f>L46</f>
        <v>0</v>
      </c>
    </row>
    <row r="47" spans="1:13" ht="12.75">
      <c r="A47" s="98"/>
      <c r="B47" s="98"/>
      <c r="C47" s="98"/>
      <c r="D47" s="99" t="s">
        <v>174</v>
      </c>
      <c r="E47" s="98"/>
      <c r="F47" s="100">
        <v>21.2</v>
      </c>
      <c r="G47" s="98"/>
      <c r="H47" s="98"/>
      <c r="I47" s="98"/>
      <c r="J47" s="98"/>
      <c r="K47" s="98"/>
      <c r="L47" s="98"/>
      <c r="M47" s="98"/>
    </row>
    <row r="48" spans="1:48" ht="12.75">
      <c r="A48" s="95" t="s">
        <v>23</v>
      </c>
      <c r="B48" s="95" t="s">
        <v>66</v>
      </c>
      <c r="C48" s="95" t="s">
        <v>85</v>
      </c>
      <c r="D48" s="95" t="s">
        <v>175</v>
      </c>
      <c r="E48" s="95" t="s">
        <v>258</v>
      </c>
      <c r="F48" s="96">
        <v>23.13</v>
      </c>
      <c r="G48" s="96">
        <v>0</v>
      </c>
      <c r="H48" s="96">
        <f>F48*AE48</f>
        <v>0</v>
      </c>
      <c r="I48" s="96">
        <f>J48-H48</f>
        <v>0</v>
      </c>
      <c r="J48" s="96">
        <f>F48*G48</f>
        <v>0</v>
      </c>
      <c r="K48" s="96">
        <v>0.00061</v>
      </c>
      <c r="L48" s="96">
        <f>F48*K48</f>
        <v>0.014109299999999998</v>
      </c>
      <c r="M48" s="97" t="s">
        <v>284</v>
      </c>
      <c r="P48" s="15">
        <f>IF(AG48="5",J48,0)</f>
        <v>0</v>
      </c>
      <c r="R48" s="15">
        <f>IF(AG48="1",H48,0)</f>
        <v>0</v>
      </c>
      <c r="S48" s="15">
        <f>IF(AG48="1",I48,0)</f>
        <v>0</v>
      </c>
      <c r="T48" s="15">
        <f>IF(AG48="7",H48,0)</f>
        <v>0</v>
      </c>
      <c r="U48" s="15">
        <f>IF(AG48="7",I48,0)</f>
        <v>0</v>
      </c>
      <c r="V48" s="15">
        <f>IF(AG48="2",H48,0)</f>
        <v>0</v>
      </c>
      <c r="W48" s="15">
        <f>IF(AG48="2",I48,0)</f>
        <v>0</v>
      </c>
      <c r="X48" s="15">
        <f>IF(AG48="0",J48,0)</f>
        <v>0</v>
      </c>
      <c r="Y48" s="9" t="s">
        <v>66</v>
      </c>
      <c r="Z48" s="6">
        <f>IF(AD48=0,J48,0)</f>
        <v>0</v>
      </c>
      <c r="AA48" s="6">
        <f>IF(AD48=15,J48,0)</f>
        <v>0</v>
      </c>
      <c r="AB48" s="6">
        <f>IF(AD48=21,J48,0)</f>
        <v>0</v>
      </c>
      <c r="AD48" s="15">
        <v>21</v>
      </c>
      <c r="AE48" s="15">
        <f>G48*0.166161120048261</f>
        <v>0</v>
      </c>
      <c r="AF48" s="15">
        <f>G48*(1-0.166161120048261)</f>
        <v>0</v>
      </c>
      <c r="AG48" s="11" t="s">
        <v>13</v>
      </c>
      <c r="AM48" s="15">
        <f>F48*AE48</f>
        <v>0</v>
      </c>
      <c r="AN48" s="15">
        <f>F48*AF48</f>
        <v>0</v>
      </c>
      <c r="AO48" s="16" t="s">
        <v>299</v>
      </c>
      <c r="AP48" s="16" t="s">
        <v>310</v>
      </c>
      <c r="AQ48" s="9" t="s">
        <v>314</v>
      </c>
      <c r="AS48" s="15">
        <f>AM48+AN48</f>
        <v>0</v>
      </c>
      <c r="AT48" s="15">
        <f>G48/(100-AU48)*100</f>
        <v>0</v>
      </c>
      <c r="AU48" s="15">
        <v>0</v>
      </c>
      <c r="AV48" s="15">
        <f>L48</f>
        <v>0.014109299999999998</v>
      </c>
    </row>
    <row r="49" spans="1:13" ht="12.75">
      <c r="A49" s="98"/>
      <c r="B49" s="98"/>
      <c r="C49" s="98"/>
      <c r="D49" s="99" t="s">
        <v>176</v>
      </c>
      <c r="E49" s="98"/>
      <c r="F49" s="100">
        <v>23.13</v>
      </c>
      <c r="G49" s="98"/>
      <c r="H49" s="98"/>
      <c r="I49" s="98"/>
      <c r="J49" s="98"/>
      <c r="K49" s="98"/>
      <c r="L49" s="98"/>
      <c r="M49" s="98"/>
    </row>
    <row r="50" spans="1:48" ht="12.75">
      <c r="A50" s="95" t="s">
        <v>24</v>
      </c>
      <c r="B50" s="95" t="s">
        <v>66</v>
      </c>
      <c r="C50" s="95" t="s">
        <v>86</v>
      </c>
      <c r="D50" s="95" t="s">
        <v>177</v>
      </c>
      <c r="E50" s="95" t="s">
        <v>258</v>
      </c>
      <c r="F50" s="96">
        <v>22.83</v>
      </c>
      <c r="G50" s="96">
        <v>0</v>
      </c>
      <c r="H50" s="96">
        <f>F50*AE50</f>
        <v>0</v>
      </c>
      <c r="I50" s="96">
        <f>J50-H50</f>
        <v>0</v>
      </c>
      <c r="J50" s="96">
        <f>F50*G50</f>
        <v>0</v>
      </c>
      <c r="K50" s="96">
        <v>0.01468</v>
      </c>
      <c r="L50" s="96">
        <f>F50*K50</f>
        <v>0.3351444</v>
      </c>
      <c r="M50" s="97" t="s">
        <v>284</v>
      </c>
      <c r="P50" s="15">
        <f>IF(AG50="5",J50,0)</f>
        <v>0</v>
      </c>
      <c r="R50" s="15">
        <f>IF(AG50="1",H50,0)</f>
        <v>0</v>
      </c>
      <c r="S50" s="15">
        <f>IF(AG50="1",I50,0)</f>
        <v>0</v>
      </c>
      <c r="T50" s="15">
        <f>IF(AG50="7",H50,0)</f>
        <v>0</v>
      </c>
      <c r="U50" s="15">
        <f>IF(AG50="7",I50,0)</f>
        <v>0</v>
      </c>
      <c r="V50" s="15">
        <f>IF(AG50="2",H50,0)</f>
        <v>0</v>
      </c>
      <c r="W50" s="15">
        <f>IF(AG50="2",I50,0)</f>
        <v>0</v>
      </c>
      <c r="X50" s="15">
        <f>IF(AG50="0",J50,0)</f>
        <v>0</v>
      </c>
      <c r="Y50" s="9" t="s">
        <v>66</v>
      </c>
      <c r="Z50" s="6">
        <f>IF(AD50=0,J50,0)</f>
        <v>0</v>
      </c>
      <c r="AA50" s="6">
        <f>IF(AD50=15,J50,0)</f>
        <v>0</v>
      </c>
      <c r="AB50" s="6">
        <f>IF(AD50=21,J50,0)</f>
        <v>0</v>
      </c>
      <c r="AD50" s="15">
        <v>21</v>
      </c>
      <c r="AE50" s="15">
        <f>G50*0.788133104320176</f>
        <v>0</v>
      </c>
      <c r="AF50" s="15">
        <f>G50*(1-0.788133104320176)</f>
        <v>0</v>
      </c>
      <c r="AG50" s="11" t="s">
        <v>13</v>
      </c>
      <c r="AM50" s="15">
        <f>F50*AE50</f>
        <v>0</v>
      </c>
      <c r="AN50" s="15">
        <f>F50*AF50</f>
        <v>0</v>
      </c>
      <c r="AO50" s="16" t="s">
        <v>299</v>
      </c>
      <c r="AP50" s="16" t="s">
        <v>310</v>
      </c>
      <c r="AQ50" s="9" t="s">
        <v>314</v>
      </c>
      <c r="AS50" s="15">
        <f>AM50+AN50</f>
        <v>0</v>
      </c>
      <c r="AT50" s="15">
        <f>G50/(100-AU50)*100</f>
        <v>0</v>
      </c>
      <c r="AU50" s="15">
        <v>0</v>
      </c>
      <c r="AV50" s="15">
        <f>L50</f>
        <v>0.3351444</v>
      </c>
    </row>
    <row r="51" spans="1:13" ht="12.75">
      <c r="A51" s="98"/>
      <c r="B51" s="98"/>
      <c r="C51" s="98"/>
      <c r="D51" s="99" t="s">
        <v>178</v>
      </c>
      <c r="E51" s="98"/>
      <c r="F51" s="100">
        <v>10.96</v>
      </c>
      <c r="G51" s="98"/>
      <c r="H51" s="98"/>
      <c r="I51" s="98"/>
      <c r="J51" s="98"/>
      <c r="K51" s="98"/>
      <c r="L51" s="98"/>
      <c r="M51" s="98"/>
    </row>
    <row r="52" spans="1:13" ht="12.75">
      <c r="A52" s="98"/>
      <c r="B52" s="98"/>
      <c r="C52" s="98"/>
      <c r="D52" s="99" t="s">
        <v>179</v>
      </c>
      <c r="E52" s="98"/>
      <c r="F52" s="100">
        <v>11.87</v>
      </c>
      <c r="G52" s="98"/>
      <c r="H52" s="98"/>
      <c r="I52" s="98"/>
      <c r="J52" s="98"/>
      <c r="K52" s="98"/>
      <c r="L52" s="98"/>
      <c r="M52" s="98"/>
    </row>
    <row r="53" spans="1:48" ht="12.75">
      <c r="A53" s="95" t="s">
        <v>25</v>
      </c>
      <c r="B53" s="95" t="s">
        <v>66</v>
      </c>
      <c r="C53" s="95" t="s">
        <v>87</v>
      </c>
      <c r="D53" s="95" t="s">
        <v>170</v>
      </c>
      <c r="E53" s="95" t="s">
        <v>260</v>
      </c>
      <c r="F53" s="96">
        <v>36</v>
      </c>
      <c r="G53" s="96">
        <v>0</v>
      </c>
      <c r="H53" s="96">
        <f>F53*AE53</f>
        <v>0</v>
      </c>
      <c r="I53" s="96">
        <f>J53-H53</f>
        <v>0</v>
      </c>
      <c r="J53" s="96">
        <f>F53*G53</f>
        <v>0</v>
      </c>
      <c r="K53" s="96">
        <v>0.00528</v>
      </c>
      <c r="L53" s="96">
        <f>F53*K53</f>
        <v>0.19008</v>
      </c>
      <c r="M53" s="97" t="s">
        <v>284</v>
      </c>
      <c r="P53" s="15">
        <f>IF(AG53="5",J53,0)</f>
        <v>0</v>
      </c>
      <c r="R53" s="15">
        <f>IF(AG53="1",H53,0)</f>
        <v>0</v>
      </c>
      <c r="S53" s="15">
        <f>IF(AG53="1",I53,0)</f>
        <v>0</v>
      </c>
      <c r="T53" s="15">
        <f>IF(AG53="7",H53,0)</f>
        <v>0</v>
      </c>
      <c r="U53" s="15">
        <f>IF(AG53="7",I53,0)</f>
        <v>0</v>
      </c>
      <c r="V53" s="15">
        <f>IF(AG53="2",H53,0)</f>
        <v>0</v>
      </c>
      <c r="W53" s="15">
        <f>IF(AG53="2",I53,0)</f>
        <v>0</v>
      </c>
      <c r="X53" s="15">
        <f>IF(AG53="0",J53,0)</f>
        <v>0</v>
      </c>
      <c r="Y53" s="9" t="s">
        <v>66</v>
      </c>
      <c r="Z53" s="6">
        <f>IF(AD53=0,J53,0)</f>
        <v>0</v>
      </c>
      <c r="AA53" s="6">
        <f>IF(AD53=15,J53,0)</f>
        <v>0</v>
      </c>
      <c r="AB53" s="6">
        <f>IF(AD53=21,J53,0)</f>
        <v>0</v>
      </c>
      <c r="AD53" s="15">
        <v>21</v>
      </c>
      <c r="AE53" s="15">
        <f>G53*0.386754921462377</f>
        <v>0</v>
      </c>
      <c r="AF53" s="15">
        <f>G53*(1-0.386754921462377)</f>
        <v>0</v>
      </c>
      <c r="AG53" s="11" t="s">
        <v>13</v>
      </c>
      <c r="AM53" s="15">
        <f>F53*AE53</f>
        <v>0</v>
      </c>
      <c r="AN53" s="15">
        <f>F53*AF53</f>
        <v>0</v>
      </c>
      <c r="AO53" s="16" t="s">
        <v>299</v>
      </c>
      <c r="AP53" s="16" t="s">
        <v>310</v>
      </c>
      <c r="AQ53" s="9" t="s">
        <v>314</v>
      </c>
      <c r="AS53" s="15">
        <f>AM53+AN53</f>
        <v>0</v>
      </c>
      <c r="AT53" s="15">
        <f>G53/(100-AU53)*100</f>
        <v>0</v>
      </c>
      <c r="AU53" s="15">
        <v>0</v>
      </c>
      <c r="AV53" s="15">
        <f>L53</f>
        <v>0.19008</v>
      </c>
    </row>
    <row r="54" spans="1:13" ht="12.75">
      <c r="A54" s="98"/>
      <c r="B54" s="98"/>
      <c r="C54" s="98"/>
      <c r="D54" s="99" t="s">
        <v>180</v>
      </c>
      <c r="E54" s="98"/>
      <c r="F54" s="100">
        <v>8.5</v>
      </c>
      <c r="G54" s="98"/>
      <c r="H54" s="98"/>
      <c r="I54" s="98"/>
      <c r="J54" s="98"/>
      <c r="K54" s="98"/>
      <c r="L54" s="98"/>
      <c r="M54" s="98"/>
    </row>
    <row r="55" spans="1:13" ht="12.75">
      <c r="A55" s="98"/>
      <c r="B55" s="98"/>
      <c r="C55" s="98"/>
      <c r="D55" s="99" t="s">
        <v>181</v>
      </c>
      <c r="E55" s="98"/>
      <c r="F55" s="100">
        <v>27.5</v>
      </c>
      <c r="G55" s="98"/>
      <c r="H55" s="98"/>
      <c r="I55" s="98"/>
      <c r="J55" s="98"/>
      <c r="K55" s="98"/>
      <c r="L55" s="98"/>
      <c r="M55" s="98"/>
    </row>
    <row r="56" spans="1:48" ht="12.75">
      <c r="A56" s="95" t="s">
        <v>26</v>
      </c>
      <c r="B56" s="95" t="s">
        <v>66</v>
      </c>
      <c r="C56" s="95" t="s">
        <v>88</v>
      </c>
      <c r="D56" s="95" t="s">
        <v>182</v>
      </c>
      <c r="E56" s="95" t="s">
        <v>257</v>
      </c>
      <c r="F56" s="96">
        <v>1.87</v>
      </c>
      <c r="G56" s="96">
        <v>0</v>
      </c>
      <c r="H56" s="96">
        <f>F56*AE56</f>
        <v>0</v>
      </c>
      <c r="I56" s="96">
        <f>J56-H56</f>
        <v>0</v>
      </c>
      <c r="J56" s="96">
        <f>F56*G56</f>
        <v>0</v>
      </c>
      <c r="K56" s="96">
        <v>0.01549</v>
      </c>
      <c r="L56" s="96">
        <f>F56*K56</f>
        <v>0.028966300000000004</v>
      </c>
      <c r="M56" s="97" t="s">
        <v>284</v>
      </c>
      <c r="P56" s="15">
        <f>IF(AG56="5",J56,0)</f>
        <v>0</v>
      </c>
      <c r="R56" s="15">
        <f>IF(AG56="1",H56,0)</f>
        <v>0</v>
      </c>
      <c r="S56" s="15">
        <f>IF(AG56="1",I56,0)</f>
        <v>0</v>
      </c>
      <c r="T56" s="15">
        <f>IF(AG56="7",H56,0)</f>
        <v>0</v>
      </c>
      <c r="U56" s="15">
        <f>IF(AG56="7",I56,0)</f>
        <v>0</v>
      </c>
      <c r="V56" s="15">
        <f>IF(AG56="2",H56,0)</f>
        <v>0</v>
      </c>
      <c r="W56" s="15">
        <f>IF(AG56="2",I56,0)</f>
        <v>0</v>
      </c>
      <c r="X56" s="15">
        <f>IF(AG56="0",J56,0)</f>
        <v>0</v>
      </c>
      <c r="Y56" s="9" t="s">
        <v>66</v>
      </c>
      <c r="Z56" s="6">
        <f>IF(AD56=0,J56,0)</f>
        <v>0</v>
      </c>
      <c r="AA56" s="6">
        <f>IF(AD56=15,J56,0)</f>
        <v>0</v>
      </c>
      <c r="AB56" s="6">
        <f>IF(AD56=21,J56,0)</f>
        <v>0</v>
      </c>
      <c r="AD56" s="15">
        <v>21</v>
      </c>
      <c r="AE56" s="15">
        <f>G56*0.999950024987506</f>
        <v>0</v>
      </c>
      <c r="AF56" s="15">
        <f>G56*(1-0.999950024987506)</f>
        <v>0</v>
      </c>
      <c r="AG56" s="11" t="s">
        <v>13</v>
      </c>
      <c r="AM56" s="15">
        <f>F56*AE56</f>
        <v>0</v>
      </c>
      <c r="AN56" s="15">
        <f>F56*AF56</f>
        <v>0</v>
      </c>
      <c r="AO56" s="16" t="s">
        <v>299</v>
      </c>
      <c r="AP56" s="16" t="s">
        <v>310</v>
      </c>
      <c r="AQ56" s="9" t="s">
        <v>314</v>
      </c>
      <c r="AS56" s="15">
        <f>AM56+AN56</f>
        <v>0</v>
      </c>
      <c r="AT56" s="15">
        <f>G56/(100-AU56)*100</f>
        <v>0</v>
      </c>
      <c r="AU56" s="15">
        <v>0</v>
      </c>
      <c r="AV56" s="15">
        <f>L56</f>
        <v>0.028966300000000004</v>
      </c>
    </row>
    <row r="57" spans="1:13" ht="12.75">
      <c r="A57" s="98"/>
      <c r="B57" s="98"/>
      <c r="C57" s="98"/>
      <c r="D57" s="99" t="s">
        <v>183</v>
      </c>
      <c r="E57" s="98"/>
      <c r="F57" s="100">
        <v>0.25</v>
      </c>
      <c r="G57" s="98"/>
      <c r="H57" s="98"/>
      <c r="I57" s="98"/>
      <c r="J57" s="98"/>
      <c r="K57" s="98"/>
      <c r="L57" s="98"/>
      <c r="M57" s="98"/>
    </row>
    <row r="58" spans="1:13" ht="12.75">
      <c r="A58" s="98"/>
      <c r="B58" s="98"/>
      <c r="C58" s="98"/>
      <c r="D58" s="99" t="s">
        <v>184</v>
      </c>
      <c r="E58" s="98"/>
      <c r="F58" s="100">
        <v>0.83</v>
      </c>
      <c r="G58" s="98"/>
      <c r="H58" s="98"/>
      <c r="I58" s="98"/>
      <c r="J58" s="98"/>
      <c r="K58" s="98"/>
      <c r="L58" s="98"/>
      <c r="M58" s="98"/>
    </row>
    <row r="59" spans="1:13" ht="12.75">
      <c r="A59" s="98"/>
      <c r="B59" s="98"/>
      <c r="C59" s="98"/>
      <c r="D59" s="99" t="s">
        <v>185</v>
      </c>
      <c r="E59" s="98"/>
      <c r="F59" s="100">
        <v>0.57</v>
      </c>
      <c r="G59" s="98"/>
      <c r="H59" s="98"/>
      <c r="I59" s="98"/>
      <c r="J59" s="98"/>
      <c r="K59" s="98"/>
      <c r="L59" s="98"/>
      <c r="M59" s="98"/>
    </row>
    <row r="60" spans="1:13" ht="12.75">
      <c r="A60" s="98"/>
      <c r="B60" s="98"/>
      <c r="C60" s="98"/>
      <c r="D60" s="99" t="s">
        <v>186</v>
      </c>
      <c r="E60" s="98"/>
      <c r="F60" s="100">
        <v>0.22</v>
      </c>
      <c r="G60" s="98"/>
      <c r="H60" s="98"/>
      <c r="I60" s="98"/>
      <c r="J60" s="98"/>
      <c r="K60" s="98"/>
      <c r="L60" s="98"/>
      <c r="M60" s="98"/>
    </row>
    <row r="61" spans="1:48" ht="12.75">
      <c r="A61" s="95" t="s">
        <v>27</v>
      </c>
      <c r="B61" s="95" t="s">
        <v>66</v>
      </c>
      <c r="C61" s="95" t="s">
        <v>89</v>
      </c>
      <c r="D61" s="95" t="s">
        <v>187</v>
      </c>
      <c r="E61" s="95" t="s">
        <v>259</v>
      </c>
      <c r="F61" s="96">
        <v>3.08</v>
      </c>
      <c r="G61" s="96">
        <v>0</v>
      </c>
      <c r="H61" s="96">
        <f>F61*AE61</f>
        <v>0</v>
      </c>
      <c r="I61" s="96">
        <f>J61-H61</f>
        <v>0</v>
      </c>
      <c r="J61" s="96">
        <f>F61*G61</f>
        <v>0</v>
      </c>
      <c r="K61" s="96">
        <v>0</v>
      </c>
      <c r="L61" s="96">
        <f>F61*K61</f>
        <v>0</v>
      </c>
      <c r="M61" s="97" t="s">
        <v>284</v>
      </c>
      <c r="P61" s="15">
        <f>IF(AG61="5",J61,0)</f>
        <v>0</v>
      </c>
      <c r="R61" s="15">
        <f>IF(AG61="1",H61,0)</f>
        <v>0</v>
      </c>
      <c r="S61" s="15">
        <f>IF(AG61="1",I61,0)</f>
        <v>0</v>
      </c>
      <c r="T61" s="15">
        <f>IF(AG61="7",H61,0)</f>
        <v>0</v>
      </c>
      <c r="U61" s="15">
        <f>IF(AG61="7",I61,0)</f>
        <v>0</v>
      </c>
      <c r="V61" s="15">
        <f>IF(AG61="2",H61,0)</f>
        <v>0</v>
      </c>
      <c r="W61" s="15">
        <f>IF(AG61="2",I61,0)</f>
        <v>0</v>
      </c>
      <c r="X61" s="15">
        <f>IF(AG61="0",J61,0)</f>
        <v>0</v>
      </c>
      <c r="Y61" s="9" t="s">
        <v>66</v>
      </c>
      <c r="Z61" s="6">
        <f>IF(AD61=0,J61,0)</f>
        <v>0</v>
      </c>
      <c r="AA61" s="6">
        <f>IF(AD61=15,J61,0)</f>
        <v>0</v>
      </c>
      <c r="AB61" s="6">
        <f>IF(AD61=21,J61,0)</f>
        <v>0</v>
      </c>
      <c r="AD61" s="15">
        <v>21</v>
      </c>
      <c r="AE61" s="15">
        <f>G61*0</f>
        <v>0</v>
      </c>
      <c r="AF61" s="15">
        <f>G61*(1-0)</f>
        <v>0</v>
      </c>
      <c r="AG61" s="11" t="s">
        <v>11</v>
      </c>
      <c r="AM61" s="15">
        <f>F61*AE61</f>
        <v>0</v>
      </c>
      <c r="AN61" s="15">
        <f>F61*AF61</f>
        <v>0</v>
      </c>
      <c r="AO61" s="16" t="s">
        <v>299</v>
      </c>
      <c r="AP61" s="16" t="s">
        <v>310</v>
      </c>
      <c r="AQ61" s="9" t="s">
        <v>314</v>
      </c>
      <c r="AS61" s="15">
        <f>AM61+AN61</f>
        <v>0</v>
      </c>
      <c r="AT61" s="15">
        <f>G61/(100-AU61)*100</f>
        <v>0</v>
      </c>
      <c r="AU61" s="15">
        <v>0</v>
      </c>
      <c r="AV61" s="15">
        <f>L61</f>
        <v>0</v>
      </c>
    </row>
    <row r="62" spans="1:37" ht="12.75">
      <c r="A62" s="91"/>
      <c r="B62" s="92" t="s">
        <v>66</v>
      </c>
      <c r="C62" s="92" t="s">
        <v>90</v>
      </c>
      <c r="D62" s="92" t="s">
        <v>188</v>
      </c>
      <c r="E62" s="91" t="s">
        <v>6</v>
      </c>
      <c r="F62" s="91" t="s">
        <v>6</v>
      </c>
      <c r="G62" s="91" t="s">
        <v>6</v>
      </c>
      <c r="H62" s="93">
        <f>SUM(H63:H71)</f>
        <v>0</v>
      </c>
      <c r="I62" s="93">
        <f>SUM(I63:I71)</f>
        <v>0</v>
      </c>
      <c r="J62" s="93">
        <f>H62+I62</f>
        <v>0</v>
      </c>
      <c r="K62" s="94"/>
      <c r="L62" s="93">
        <f>SUM(L63:L71)</f>
        <v>0.660831</v>
      </c>
      <c r="M62" s="94"/>
      <c r="Y62" s="9" t="s">
        <v>66</v>
      </c>
      <c r="AI62" s="17">
        <f>SUM(Z63:Z71)</f>
        <v>0</v>
      </c>
      <c r="AJ62" s="17">
        <f>SUM(AA63:AA71)</f>
        <v>0</v>
      </c>
      <c r="AK62" s="17">
        <f>SUM(AB63:AB71)</f>
        <v>0</v>
      </c>
    </row>
    <row r="63" spans="1:48" ht="12.75">
      <c r="A63" s="95" t="s">
        <v>28</v>
      </c>
      <c r="B63" s="95" t="s">
        <v>66</v>
      </c>
      <c r="C63" s="95" t="s">
        <v>91</v>
      </c>
      <c r="D63" s="95" t="s">
        <v>189</v>
      </c>
      <c r="E63" s="95" t="s">
        <v>258</v>
      </c>
      <c r="F63" s="96">
        <v>84.7</v>
      </c>
      <c r="G63" s="96">
        <v>0</v>
      </c>
      <c r="H63" s="96">
        <f>F63*AE63</f>
        <v>0</v>
      </c>
      <c r="I63" s="96">
        <f>J63-H63</f>
        <v>0</v>
      </c>
      <c r="J63" s="96">
        <f>F63*G63</f>
        <v>0</v>
      </c>
      <c r="K63" s="96">
        <v>0.00716</v>
      </c>
      <c r="L63" s="96">
        <f>F63*K63</f>
        <v>0.606452</v>
      </c>
      <c r="M63" s="97" t="s">
        <v>284</v>
      </c>
      <c r="P63" s="15">
        <f>IF(AG63="5",J63,0)</f>
        <v>0</v>
      </c>
      <c r="R63" s="15">
        <f>IF(AG63="1",H63,0)</f>
        <v>0</v>
      </c>
      <c r="S63" s="15">
        <f>IF(AG63="1",I63,0)</f>
        <v>0</v>
      </c>
      <c r="T63" s="15">
        <f>IF(AG63="7",H63,0)</f>
        <v>0</v>
      </c>
      <c r="U63" s="15">
        <f>IF(AG63="7",I63,0)</f>
        <v>0</v>
      </c>
      <c r="V63" s="15">
        <f>IF(AG63="2",H63,0)</f>
        <v>0</v>
      </c>
      <c r="W63" s="15">
        <f>IF(AG63="2",I63,0)</f>
        <v>0</v>
      </c>
      <c r="X63" s="15">
        <f>IF(AG63="0",J63,0)</f>
        <v>0</v>
      </c>
      <c r="Y63" s="9" t="s">
        <v>66</v>
      </c>
      <c r="Z63" s="6">
        <f>IF(AD63=0,J63,0)</f>
        <v>0</v>
      </c>
      <c r="AA63" s="6">
        <f>IF(AD63=15,J63,0)</f>
        <v>0</v>
      </c>
      <c r="AB63" s="6">
        <f>IF(AD63=21,J63,0)</f>
        <v>0</v>
      </c>
      <c r="AD63" s="15">
        <v>21</v>
      </c>
      <c r="AE63" s="15">
        <f>G63*0.553554136049164</f>
        <v>0</v>
      </c>
      <c r="AF63" s="15">
        <f>G63*(1-0.553554136049164)</f>
        <v>0</v>
      </c>
      <c r="AG63" s="11" t="s">
        <v>13</v>
      </c>
      <c r="AM63" s="15">
        <f>F63*AE63</f>
        <v>0</v>
      </c>
      <c r="AN63" s="15">
        <f>F63*AF63</f>
        <v>0</v>
      </c>
      <c r="AO63" s="16" t="s">
        <v>300</v>
      </c>
      <c r="AP63" s="16" t="s">
        <v>310</v>
      </c>
      <c r="AQ63" s="9" t="s">
        <v>314</v>
      </c>
      <c r="AS63" s="15">
        <f>AM63+AN63</f>
        <v>0</v>
      </c>
      <c r="AT63" s="15">
        <f>G63/(100-AU63)*100</f>
        <v>0</v>
      </c>
      <c r="AU63" s="15">
        <v>0</v>
      </c>
      <c r="AV63" s="15">
        <f>L63</f>
        <v>0.606452</v>
      </c>
    </row>
    <row r="64" spans="1:13" ht="12.75">
      <c r="A64" s="98"/>
      <c r="B64" s="98"/>
      <c r="C64" s="98"/>
      <c r="D64" s="99" t="s">
        <v>190</v>
      </c>
      <c r="E64" s="98"/>
      <c r="F64" s="100">
        <v>84.7</v>
      </c>
      <c r="G64" s="98"/>
      <c r="H64" s="98"/>
      <c r="I64" s="98"/>
      <c r="J64" s="98"/>
      <c r="K64" s="98"/>
      <c r="L64" s="98"/>
      <c r="M64" s="98"/>
    </row>
    <row r="65" spans="1:48" ht="12.75">
      <c r="A65" s="95" t="s">
        <v>29</v>
      </c>
      <c r="B65" s="95" t="s">
        <v>66</v>
      </c>
      <c r="C65" s="95" t="s">
        <v>92</v>
      </c>
      <c r="D65" s="95" t="s">
        <v>191</v>
      </c>
      <c r="E65" s="95" t="s">
        <v>259</v>
      </c>
      <c r="F65" s="96">
        <v>0.61</v>
      </c>
      <c r="G65" s="96">
        <v>0</v>
      </c>
      <c r="H65" s="96">
        <f>F65*AE65</f>
        <v>0</v>
      </c>
      <c r="I65" s="96">
        <f>J65-H65</f>
        <v>0</v>
      </c>
      <c r="J65" s="96">
        <f>F65*G65</f>
        <v>0</v>
      </c>
      <c r="K65" s="96">
        <v>0</v>
      </c>
      <c r="L65" s="96">
        <f>F65*K65</f>
        <v>0</v>
      </c>
      <c r="M65" s="97" t="s">
        <v>284</v>
      </c>
      <c r="P65" s="15">
        <f>IF(AG65="5",J65,0)</f>
        <v>0</v>
      </c>
      <c r="R65" s="15">
        <f>IF(AG65="1",H65,0)</f>
        <v>0</v>
      </c>
      <c r="S65" s="15">
        <f>IF(AG65="1",I65,0)</f>
        <v>0</v>
      </c>
      <c r="T65" s="15">
        <f>IF(AG65="7",H65,0)</f>
        <v>0</v>
      </c>
      <c r="U65" s="15">
        <f>IF(AG65="7",I65,0)</f>
        <v>0</v>
      </c>
      <c r="V65" s="15">
        <f>IF(AG65="2",H65,0)</f>
        <v>0</v>
      </c>
      <c r="W65" s="15">
        <f>IF(AG65="2",I65,0)</f>
        <v>0</v>
      </c>
      <c r="X65" s="15">
        <f>IF(AG65="0",J65,0)</f>
        <v>0</v>
      </c>
      <c r="Y65" s="9" t="s">
        <v>66</v>
      </c>
      <c r="Z65" s="6">
        <f>IF(AD65=0,J65,0)</f>
        <v>0</v>
      </c>
      <c r="AA65" s="6">
        <f>IF(AD65=15,J65,0)</f>
        <v>0</v>
      </c>
      <c r="AB65" s="6">
        <f>IF(AD65=21,J65,0)</f>
        <v>0</v>
      </c>
      <c r="AD65" s="15">
        <v>21</v>
      </c>
      <c r="AE65" s="15">
        <f>G65*0</f>
        <v>0</v>
      </c>
      <c r="AF65" s="15">
        <f>G65*(1-0)</f>
        <v>0</v>
      </c>
      <c r="AG65" s="11" t="s">
        <v>11</v>
      </c>
      <c r="AM65" s="15">
        <f>F65*AE65</f>
        <v>0</v>
      </c>
      <c r="AN65" s="15">
        <f>F65*AF65</f>
        <v>0</v>
      </c>
      <c r="AO65" s="16" t="s">
        <v>300</v>
      </c>
      <c r="AP65" s="16" t="s">
        <v>310</v>
      </c>
      <c r="AQ65" s="9" t="s">
        <v>314</v>
      </c>
      <c r="AS65" s="15">
        <f>AM65+AN65</f>
        <v>0</v>
      </c>
      <c r="AT65" s="15">
        <f>G65/(100-AU65)*100</f>
        <v>0</v>
      </c>
      <c r="AU65" s="15">
        <v>0</v>
      </c>
      <c r="AV65" s="15">
        <f>L65</f>
        <v>0</v>
      </c>
    </row>
    <row r="66" spans="1:48" ht="12.75">
      <c r="A66" s="95" t="s">
        <v>30</v>
      </c>
      <c r="B66" s="95" t="s">
        <v>66</v>
      </c>
      <c r="C66" s="95" t="s">
        <v>93</v>
      </c>
      <c r="D66" s="95" t="s">
        <v>192</v>
      </c>
      <c r="E66" s="95" t="s">
        <v>260</v>
      </c>
      <c r="F66" s="96">
        <v>15.5</v>
      </c>
      <c r="G66" s="96">
        <v>0</v>
      </c>
      <c r="H66" s="96">
        <f>F66*AE66</f>
        <v>0</v>
      </c>
      <c r="I66" s="96">
        <f>J66-H66</f>
        <v>0</v>
      </c>
      <c r="J66" s="96">
        <f>F66*G66</f>
        <v>0</v>
      </c>
      <c r="K66" s="96">
        <v>0.00225</v>
      </c>
      <c r="L66" s="96">
        <f>F66*K66</f>
        <v>0.034874999999999996</v>
      </c>
      <c r="M66" s="97" t="s">
        <v>284</v>
      </c>
      <c r="P66" s="15">
        <f>IF(AG66="5",J66,0)</f>
        <v>0</v>
      </c>
      <c r="R66" s="15">
        <f>IF(AG66="1",H66,0)</f>
        <v>0</v>
      </c>
      <c r="S66" s="15">
        <f>IF(AG66="1",I66,0)</f>
        <v>0</v>
      </c>
      <c r="T66" s="15">
        <f>IF(AG66="7",H66,0)</f>
        <v>0</v>
      </c>
      <c r="U66" s="15">
        <f>IF(AG66="7",I66,0)</f>
        <v>0</v>
      </c>
      <c r="V66" s="15">
        <f>IF(AG66="2",H66,0)</f>
        <v>0</v>
      </c>
      <c r="W66" s="15">
        <f>IF(AG66="2",I66,0)</f>
        <v>0</v>
      </c>
      <c r="X66" s="15">
        <f>IF(AG66="0",J66,0)</f>
        <v>0</v>
      </c>
      <c r="Y66" s="9" t="s">
        <v>66</v>
      </c>
      <c r="Z66" s="6">
        <f>IF(AD66=0,J66,0)</f>
        <v>0</v>
      </c>
      <c r="AA66" s="6">
        <f>IF(AD66=15,J66,0)</f>
        <v>0</v>
      </c>
      <c r="AB66" s="6">
        <f>IF(AD66=21,J66,0)</f>
        <v>0</v>
      </c>
      <c r="AD66" s="15">
        <v>21</v>
      </c>
      <c r="AE66" s="15">
        <f>G66*0.702025613205719</f>
        <v>0</v>
      </c>
      <c r="AF66" s="15">
        <f>G66*(1-0.702025613205719)</f>
        <v>0</v>
      </c>
      <c r="AG66" s="11" t="s">
        <v>13</v>
      </c>
      <c r="AM66" s="15">
        <f>F66*AE66</f>
        <v>0</v>
      </c>
      <c r="AN66" s="15">
        <f>F66*AF66</f>
        <v>0</v>
      </c>
      <c r="AO66" s="16" t="s">
        <v>300</v>
      </c>
      <c r="AP66" s="16" t="s">
        <v>310</v>
      </c>
      <c r="AQ66" s="9" t="s">
        <v>314</v>
      </c>
      <c r="AS66" s="15">
        <f>AM66+AN66</f>
        <v>0</v>
      </c>
      <c r="AT66" s="15">
        <f>G66/(100-AU66)*100</f>
        <v>0</v>
      </c>
      <c r="AU66" s="15">
        <v>0</v>
      </c>
      <c r="AV66" s="15">
        <f>L66</f>
        <v>0.034874999999999996</v>
      </c>
    </row>
    <row r="67" spans="1:13" ht="12.75">
      <c r="A67" s="98"/>
      <c r="B67" s="98"/>
      <c r="C67" s="98"/>
      <c r="D67" s="99" t="s">
        <v>193</v>
      </c>
      <c r="E67" s="98"/>
      <c r="F67" s="100">
        <v>15.5</v>
      </c>
      <c r="G67" s="98"/>
      <c r="H67" s="98"/>
      <c r="I67" s="98"/>
      <c r="J67" s="98"/>
      <c r="K67" s="98"/>
      <c r="L67" s="98"/>
      <c r="M67" s="98"/>
    </row>
    <row r="68" spans="1:48" ht="12.75">
      <c r="A68" s="95" t="s">
        <v>31</v>
      </c>
      <c r="B68" s="95" t="s">
        <v>66</v>
      </c>
      <c r="C68" s="95" t="s">
        <v>94</v>
      </c>
      <c r="D68" s="95" t="s">
        <v>194</v>
      </c>
      <c r="E68" s="95" t="s">
        <v>261</v>
      </c>
      <c r="F68" s="96">
        <v>2</v>
      </c>
      <c r="G68" s="96">
        <v>0</v>
      </c>
      <c r="H68" s="96">
        <f>F68*AE68</f>
        <v>0</v>
      </c>
      <c r="I68" s="96">
        <f>J68-H68</f>
        <v>0</v>
      </c>
      <c r="J68" s="96">
        <f>F68*G68</f>
        <v>0</v>
      </c>
      <c r="K68" s="96">
        <v>0.00032</v>
      </c>
      <c r="L68" s="96">
        <f>F68*K68</f>
        <v>0.00064</v>
      </c>
      <c r="M68" s="97" t="s">
        <v>284</v>
      </c>
      <c r="P68" s="15">
        <f>IF(AG68="5",J68,0)</f>
        <v>0</v>
      </c>
      <c r="R68" s="15">
        <f>IF(AG68="1",H68,0)</f>
        <v>0</v>
      </c>
      <c r="S68" s="15">
        <f>IF(AG68="1",I68,0)</f>
        <v>0</v>
      </c>
      <c r="T68" s="15">
        <f>IF(AG68="7",H68,0)</f>
        <v>0</v>
      </c>
      <c r="U68" s="15">
        <f>IF(AG68="7",I68,0)</f>
        <v>0</v>
      </c>
      <c r="V68" s="15">
        <f>IF(AG68="2",H68,0)</f>
        <v>0</v>
      </c>
      <c r="W68" s="15">
        <f>IF(AG68="2",I68,0)</f>
        <v>0</v>
      </c>
      <c r="X68" s="15">
        <f>IF(AG68="0",J68,0)</f>
        <v>0</v>
      </c>
      <c r="Y68" s="9" t="s">
        <v>66</v>
      </c>
      <c r="Z68" s="6">
        <f>IF(AD68=0,J68,0)</f>
        <v>0</v>
      </c>
      <c r="AA68" s="6">
        <f>IF(AD68=15,J68,0)</f>
        <v>0</v>
      </c>
      <c r="AB68" s="6">
        <f>IF(AD68=21,J68,0)</f>
        <v>0</v>
      </c>
      <c r="AD68" s="15">
        <v>21</v>
      </c>
      <c r="AE68" s="15">
        <f>G68*0.804345238095238</f>
        <v>0</v>
      </c>
      <c r="AF68" s="15">
        <f>G68*(1-0.804345238095238)</f>
        <v>0</v>
      </c>
      <c r="AG68" s="11" t="s">
        <v>13</v>
      </c>
      <c r="AM68" s="15">
        <f>F68*AE68</f>
        <v>0</v>
      </c>
      <c r="AN68" s="15">
        <f>F68*AF68</f>
        <v>0</v>
      </c>
      <c r="AO68" s="16" t="s">
        <v>300</v>
      </c>
      <c r="AP68" s="16" t="s">
        <v>310</v>
      </c>
      <c r="AQ68" s="9" t="s">
        <v>314</v>
      </c>
      <c r="AS68" s="15">
        <f>AM68+AN68</f>
        <v>0</v>
      </c>
      <c r="AT68" s="15">
        <f>G68/(100-AU68)*100</f>
        <v>0</v>
      </c>
      <c r="AU68" s="15">
        <v>0</v>
      </c>
      <c r="AV68" s="15">
        <f>L68</f>
        <v>0.00064</v>
      </c>
    </row>
    <row r="69" spans="1:48" ht="12.75">
      <c r="A69" s="95" t="s">
        <v>32</v>
      </c>
      <c r="B69" s="95" t="s">
        <v>66</v>
      </c>
      <c r="C69" s="95" t="s">
        <v>95</v>
      </c>
      <c r="D69" s="95" t="s">
        <v>195</v>
      </c>
      <c r="E69" s="95" t="s">
        <v>260</v>
      </c>
      <c r="F69" s="96">
        <v>7.2</v>
      </c>
      <c r="G69" s="96">
        <v>0</v>
      </c>
      <c r="H69" s="96">
        <f>F69*AE69</f>
        <v>0</v>
      </c>
      <c r="I69" s="96">
        <f>J69-H69</f>
        <v>0</v>
      </c>
      <c r="J69" s="96">
        <f>F69*G69</f>
        <v>0</v>
      </c>
      <c r="K69" s="96">
        <v>0.00262</v>
      </c>
      <c r="L69" s="96">
        <f>F69*K69</f>
        <v>0.018864</v>
      </c>
      <c r="M69" s="97" t="s">
        <v>284</v>
      </c>
      <c r="P69" s="15">
        <f>IF(AG69="5",J69,0)</f>
        <v>0</v>
      </c>
      <c r="R69" s="15">
        <f>IF(AG69="1",H69,0)</f>
        <v>0</v>
      </c>
      <c r="S69" s="15">
        <f>IF(AG69="1",I69,0)</f>
        <v>0</v>
      </c>
      <c r="T69" s="15">
        <f>IF(AG69="7",H69,0)</f>
        <v>0</v>
      </c>
      <c r="U69" s="15">
        <f>IF(AG69="7",I69,0)</f>
        <v>0</v>
      </c>
      <c r="V69" s="15">
        <f>IF(AG69="2",H69,0)</f>
        <v>0</v>
      </c>
      <c r="W69" s="15">
        <f>IF(AG69="2",I69,0)</f>
        <v>0</v>
      </c>
      <c r="X69" s="15">
        <f>IF(AG69="0",J69,0)</f>
        <v>0</v>
      </c>
      <c r="Y69" s="9" t="s">
        <v>66</v>
      </c>
      <c r="Z69" s="6">
        <f>IF(AD69=0,J69,0)</f>
        <v>0</v>
      </c>
      <c r="AA69" s="6">
        <f>IF(AD69=15,J69,0)</f>
        <v>0</v>
      </c>
      <c r="AB69" s="6">
        <f>IF(AD69=21,J69,0)</f>
        <v>0</v>
      </c>
      <c r="AD69" s="15">
        <v>21</v>
      </c>
      <c r="AE69" s="15">
        <f>G69*0.590650536183161</f>
        <v>0</v>
      </c>
      <c r="AF69" s="15">
        <f>G69*(1-0.590650536183161)</f>
        <v>0</v>
      </c>
      <c r="AG69" s="11" t="s">
        <v>13</v>
      </c>
      <c r="AM69" s="15">
        <f>F69*AE69</f>
        <v>0</v>
      </c>
      <c r="AN69" s="15">
        <f>F69*AF69</f>
        <v>0</v>
      </c>
      <c r="AO69" s="16" t="s">
        <v>300</v>
      </c>
      <c r="AP69" s="16" t="s">
        <v>310</v>
      </c>
      <c r="AQ69" s="9" t="s">
        <v>314</v>
      </c>
      <c r="AS69" s="15">
        <f>AM69+AN69</f>
        <v>0</v>
      </c>
      <c r="AT69" s="15">
        <f>G69/(100-AU69)*100</f>
        <v>0</v>
      </c>
      <c r="AU69" s="15">
        <v>0</v>
      </c>
      <c r="AV69" s="15">
        <f>L69</f>
        <v>0.018864</v>
      </c>
    </row>
    <row r="70" spans="1:13" ht="12.75">
      <c r="A70" s="98"/>
      <c r="B70" s="98"/>
      <c r="C70" s="98"/>
      <c r="D70" s="99" t="s">
        <v>196</v>
      </c>
      <c r="E70" s="98"/>
      <c r="F70" s="100">
        <v>7.2</v>
      </c>
      <c r="G70" s="98"/>
      <c r="H70" s="98"/>
      <c r="I70" s="98"/>
      <c r="J70" s="98"/>
      <c r="K70" s="98"/>
      <c r="L70" s="98"/>
      <c r="M70" s="98"/>
    </row>
    <row r="71" spans="1:48" ht="12.75">
      <c r="A71" s="95" t="s">
        <v>33</v>
      </c>
      <c r="B71" s="95" t="s">
        <v>66</v>
      </c>
      <c r="C71" s="95" t="s">
        <v>96</v>
      </c>
      <c r="D71" s="95" t="s">
        <v>191</v>
      </c>
      <c r="E71" s="95" t="s">
        <v>262</v>
      </c>
      <c r="F71" s="96">
        <v>1295.48</v>
      </c>
      <c r="G71" s="96">
        <v>0</v>
      </c>
      <c r="H71" s="96">
        <f>F71*AE71</f>
        <v>0</v>
      </c>
      <c r="I71" s="96">
        <f>J71-H71</f>
        <v>0</v>
      </c>
      <c r="J71" s="96">
        <f>F71*G71</f>
        <v>0</v>
      </c>
      <c r="K71" s="96">
        <v>0</v>
      </c>
      <c r="L71" s="96">
        <f>F71*K71</f>
        <v>0</v>
      </c>
      <c r="M71" s="97" t="s">
        <v>284</v>
      </c>
      <c r="P71" s="15">
        <f>IF(AG71="5",J71,0)</f>
        <v>0</v>
      </c>
      <c r="R71" s="15">
        <f>IF(AG71="1",H71,0)</f>
        <v>0</v>
      </c>
      <c r="S71" s="15">
        <f>IF(AG71="1",I71,0)</f>
        <v>0</v>
      </c>
      <c r="T71" s="15">
        <f>IF(AG71="7",H71,0)</f>
        <v>0</v>
      </c>
      <c r="U71" s="15">
        <f>IF(AG71="7",I71,0)</f>
        <v>0</v>
      </c>
      <c r="V71" s="15">
        <f>IF(AG71="2",H71,0)</f>
        <v>0</v>
      </c>
      <c r="W71" s="15">
        <f>IF(AG71="2",I71,0)</f>
        <v>0</v>
      </c>
      <c r="X71" s="15">
        <f>IF(AG71="0",J71,0)</f>
        <v>0</v>
      </c>
      <c r="Y71" s="9" t="s">
        <v>66</v>
      </c>
      <c r="Z71" s="6">
        <f>IF(AD71=0,J71,0)</f>
        <v>0</v>
      </c>
      <c r="AA71" s="6">
        <f>IF(AD71=15,J71,0)</f>
        <v>0</v>
      </c>
      <c r="AB71" s="6">
        <f>IF(AD71=21,J71,0)</f>
        <v>0</v>
      </c>
      <c r="AD71" s="15">
        <v>21</v>
      </c>
      <c r="AE71" s="15">
        <f>G71*0</f>
        <v>0</v>
      </c>
      <c r="AF71" s="15">
        <f>G71*(1-0)</f>
        <v>0</v>
      </c>
      <c r="AG71" s="11" t="s">
        <v>11</v>
      </c>
      <c r="AM71" s="15">
        <f>F71*AE71</f>
        <v>0</v>
      </c>
      <c r="AN71" s="15">
        <f>F71*AF71</f>
        <v>0</v>
      </c>
      <c r="AO71" s="16" t="s">
        <v>300</v>
      </c>
      <c r="AP71" s="16" t="s">
        <v>310</v>
      </c>
      <c r="AQ71" s="9" t="s">
        <v>314</v>
      </c>
      <c r="AS71" s="15">
        <f>AM71+AN71</f>
        <v>0</v>
      </c>
      <c r="AT71" s="15">
        <f>G71/(100-AU71)*100</f>
        <v>0</v>
      </c>
      <c r="AU71" s="15">
        <v>0</v>
      </c>
      <c r="AV71" s="15">
        <f>L71</f>
        <v>0</v>
      </c>
    </row>
    <row r="72" spans="1:37" ht="12.75">
      <c r="A72" s="91"/>
      <c r="B72" s="92" t="s">
        <v>66</v>
      </c>
      <c r="C72" s="92" t="s">
        <v>97</v>
      </c>
      <c r="D72" s="92" t="s">
        <v>197</v>
      </c>
      <c r="E72" s="91" t="s">
        <v>6</v>
      </c>
      <c r="F72" s="91" t="s">
        <v>6</v>
      </c>
      <c r="G72" s="91" t="s">
        <v>6</v>
      </c>
      <c r="H72" s="93">
        <f>SUM(H73:H86)</f>
        <v>0</v>
      </c>
      <c r="I72" s="93">
        <f>SUM(I73:I86)</f>
        <v>0</v>
      </c>
      <c r="J72" s="93">
        <f>H72+I72</f>
        <v>0</v>
      </c>
      <c r="K72" s="94"/>
      <c r="L72" s="93">
        <f>SUM(L73:L86)</f>
        <v>0.9974540000000002</v>
      </c>
      <c r="M72" s="94"/>
      <c r="Y72" s="9" t="s">
        <v>66</v>
      </c>
      <c r="AI72" s="17">
        <f>SUM(Z73:Z86)</f>
        <v>0</v>
      </c>
      <c r="AJ72" s="17">
        <f>SUM(AA73:AA86)</f>
        <v>0</v>
      </c>
      <c r="AK72" s="17">
        <f>SUM(AB73:AB86)</f>
        <v>0</v>
      </c>
    </row>
    <row r="73" spans="1:48" ht="12.75">
      <c r="A73" s="95" t="s">
        <v>34</v>
      </c>
      <c r="B73" s="95" t="s">
        <v>66</v>
      </c>
      <c r="C73" s="95" t="s">
        <v>98</v>
      </c>
      <c r="D73" s="95" t="s">
        <v>198</v>
      </c>
      <c r="E73" s="95" t="s">
        <v>263</v>
      </c>
      <c r="F73" s="96">
        <v>1</v>
      </c>
      <c r="G73" s="96">
        <v>0</v>
      </c>
      <c r="H73" s="96">
        <f>F73*AE73</f>
        <v>0</v>
      </c>
      <c r="I73" s="96">
        <f>J73-H73</f>
        <v>0</v>
      </c>
      <c r="J73" s="96">
        <f>F73*G73</f>
        <v>0</v>
      </c>
      <c r="K73" s="96">
        <v>0</v>
      </c>
      <c r="L73" s="96">
        <f>F73*K73</f>
        <v>0</v>
      </c>
      <c r="M73" s="97" t="s">
        <v>285</v>
      </c>
      <c r="P73" s="15">
        <f>IF(AG73="5",J73,0)</f>
        <v>0</v>
      </c>
      <c r="R73" s="15">
        <f>IF(AG73="1",H73,0)</f>
        <v>0</v>
      </c>
      <c r="S73" s="15">
        <f>IF(AG73="1",I73,0)</f>
        <v>0</v>
      </c>
      <c r="T73" s="15">
        <f>IF(AG73="7",H73,0)</f>
        <v>0</v>
      </c>
      <c r="U73" s="15">
        <f>IF(AG73="7",I73,0)</f>
        <v>0</v>
      </c>
      <c r="V73" s="15">
        <f>IF(AG73="2",H73,0)</f>
        <v>0</v>
      </c>
      <c r="W73" s="15">
        <f>IF(AG73="2",I73,0)</f>
        <v>0</v>
      </c>
      <c r="X73" s="15">
        <f>IF(AG73="0",J73,0)</f>
        <v>0</v>
      </c>
      <c r="Y73" s="9" t="s">
        <v>66</v>
      </c>
      <c r="Z73" s="6">
        <f>IF(AD73=0,J73,0)</f>
        <v>0</v>
      </c>
      <c r="AA73" s="6">
        <f>IF(AD73=15,J73,0)</f>
        <v>0</v>
      </c>
      <c r="AB73" s="6">
        <f>IF(AD73=21,J73,0)</f>
        <v>0</v>
      </c>
      <c r="AD73" s="15">
        <v>21</v>
      </c>
      <c r="AE73" s="15">
        <f>G73*0</f>
        <v>0</v>
      </c>
      <c r="AF73" s="15">
        <f>G73*(1-0)</f>
        <v>0</v>
      </c>
      <c r="AG73" s="11" t="s">
        <v>13</v>
      </c>
      <c r="AM73" s="15">
        <f>F73*AE73</f>
        <v>0</v>
      </c>
      <c r="AN73" s="15">
        <f>F73*AF73</f>
        <v>0</v>
      </c>
      <c r="AO73" s="16" t="s">
        <v>301</v>
      </c>
      <c r="AP73" s="16" t="s">
        <v>310</v>
      </c>
      <c r="AQ73" s="9" t="s">
        <v>314</v>
      </c>
      <c r="AS73" s="15">
        <f>AM73+AN73</f>
        <v>0</v>
      </c>
      <c r="AT73" s="15">
        <f>G73/(100-AU73)*100</f>
        <v>0</v>
      </c>
      <c r="AU73" s="15">
        <v>0</v>
      </c>
      <c r="AV73" s="15">
        <f>L73</f>
        <v>0</v>
      </c>
    </row>
    <row r="74" spans="1:48" ht="12.75">
      <c r="A74" s="95" t="s">
        <v>35</v>
      </c>
      <c r="B74" s="95" t="s">
        <v>66</v>
      </c>
      <c r="C74" s="95" t="s">
        <v>99</v>
      </c>
      <c r="D74" s="95" t="s">
        <v>199</v>
      </c>
      <c r="E74" s="95" t="s">
        <v>258</v>
      </c>
      <c r="F74" s="96">
        <v>84.7</v>
      </c>
      <c r="G74" s="96">
        <v>0</v>
      </c>
      <c r="H74" s="96">
        <f>F74*AE74</f>
        <v>0</v>
      </c>
      <c r="I74" s="96">
        <f>J74-H74</f>
        <v>0</v>
      </c>
      <c r="J74" s="96">
        <f>F74*G74</f>
        <v>0</v>
      </c>
      <c r="K74" s="96">
        <v>0.007</v>
      </c>
      <c r="L74" s="96">
        <f>F74*K74</f>
        <v>0.5929</v>
      </c>
      <c r="M74" s="97" t="s">
        <v>284</v>
      </c>
      <c r="P74" s="15">
        <f>IF(AG74="5",J74,0)</f>
        <v>0</v>
      </c>
      <c r="R74" s="15">
        <f>IF(AG74="1",H74,0)</f>
        <v>0</v>
      </c>
      <c r="S74" s="15">
        <f>IF(AG74="1",I74,0)</f>
        <v>0</v>
      </c>
      <c r="T74" s="15">
        <f>IF(AG74="7",H74,0)</f>
        <v>0</v>
      </c>
      <c r="U74" s="15">
        <f>IF(AG74="7",I74,0)</f>
        <v>0</v>
      </c>
      <c r="V74" s="15">
        <f>IF(AG74="2",H74,0)</f>
        <v>0</v>
      </c>
      <c r="W74" s="15">
        <f>IF(AG74="2",I74,0)</f>
        <v>0</v>
      </c>
      <c r="X74" s="15">
        <f>IF(AG74="0",J74,0)</f>
        <v>0</v>
      </c>
      <c r="Y74" s="9" t="s">
        <v>66</v>
      </c>
      <c r="Z74" s="6">
        <f>IF(AD74=0,J74,0)</f>
        <v>0</v>
      </c>
      <c r="AA74" s="6">
        <f>IF(AD74=15,J74,0)</f>
        <v>0</v>
      </c>
      <c r="AB74" s="6">
        <f>IF(AD74=21,J74,0)</f>
        <v>0</v>
      </c>
      <c r="AD74" s="15">
        <v>21</v>
      </c>
      <c r="AE74" s="15">
        <f>G74*0</f>
        <v>0</v>
      </c>
      <c r="AF74" s="15">
        <f>G74*(1-0)</f>
        <v>0</v>
      </c>
      <c r="AG74" s="11" t="s">
        <v>13</v>
      </c>
      <c r="AM74" s="15">
        <f>F74*AE74</f>
        <v>0</v>
      </c>
      <c r="AN74" s="15">
        <f>F74*AF74</f>
        <v>0</v>
      </c>
      <c r="AO74" s="16" t="s">
        <v>301</v>
      </c>
      <c r="AP74" s="16" t="s">
        <v>310</v>
      </c>
      <c r="AQ74" s="9" t="s">
        <v>314</v>
      </c>
      <c r="AS74" s="15">
        <f>AM74+AN74</f>
        <v>0</v>
      </c>
      <c r="AT74" s="15">
        <f>G74/(100-AU74)*100</f>
        <v>0</v>
      </c>
      <c r="AU74" s="15">
        <v>0</v>
      </c>
      <c r="AV74" s="15">
        <f>L74</f>
        <v>0.5929</v>
      </c>
    </row>
    <row r="75" spans="1:48" ht="12.75">
      <c r="A75" s="95" t="s">
        <v>36</v>
      </c>
      <c r="B75" s="95" t="s">
        <v>66</v>
      </c>
      <c r="C75" s="95" t="s">
        <v>100</v>
      </c>
      <c r="D75" s="95" t="s">
        <v>200</v>
      </c>
      <c r="E75" s="95" t="s">
        <v>264</v>
      </c>
      <c r="F75" s="96">
        <v>15.4</v>
      </c>
      <c r="G75" s="96">
        <v>0</v>
      </c>
      <c r="H75" s="96">
        <f>F75*AE75</f>
        <v>0</v>
      </c>
      <c r="I75" s="96">
        <f>J75-H75</f>
        <v>0</v>
      </c>
      <c r="J75" s="96">
        <f>F75*G75</f>
        <v>0</v>
      </c>
      <c r="K75" s="96">
        <v>6E-05</v>
      </c>
      <c r="L75" s="96">
        <f>F75*K75</f>
        <v>0.000924</v>
      </c>
      <c r="M75" s="97" t="s">
        <v>284</v>
      </c>
      <c r="P75" s="15">
        <f>IF(AG75="5",J75,0)</f>
        <v>0</v>
      </c>
      <c r="R75" s="15">
        <f>IF(AG75="1",H75,0)</f>
        <v>0</v>
      </c>
      <c r="S75" s="15">
        <f>IF(AG75="1",I75,0)</f>
        <v>0</v>
      </c>
      <c r="T75" s="15">
        <f>IF(AG75="7",H75,0)</f>
        <v>0</v>
      </c>
      <c r="U75" s="15">
        <f>IF(AG75="7",I75,0)</f>
        <v>0</v>
      </c>
      <c r="V75" s="15">
        <f>IF(AG75="2",H75,0)</f>
        <v>0</v>
      </c>
      <c r="W75" s="15">
        <f>IF(AG75="2",I75,0)</f>
        <v>0</v>
      </c>
      <c r="X75" s="15">
        <f>IF(AG75="0",J75,0)</f>
        <v>0</v>
      </c>
      <c r="Y75" s="9" t="s">
        <v>66</v>
      </c>
      <c r="Z75" s="6">
        <f>IF(AD75=0,J75,0)</f>
        <v>0</v>
      </c>
      <c r="AA75" s="6">
        <f>IF(AD75=15,J75,0)</f>
        <v>0</v>
      </c>
      <c r="AB75" s="6">
        <f>IF(AD75=21,J75,0)</f>
        <v>0</v>
      </c>
      <c r="AD75" s="15">
        <v>21</v>
      </c>
      <c r="AE75" s="15">
        <f>G75*0.0763934426229508</f>
        <v>0</v>
      </c>
      <c r="AF75" s="15">
        <f>G75*(1-0.0763934426229508)</f>
        <v>0</v>
      </c>
      <c r="AG75" s="11" t="s">
        <v>13</v>
      </c>
      <c r="AM75" s="15">
        <f>F75*AE75</f>
        <v>0</v>
      </c>
      <c r="AN75" s="15">
        <f>F75*AF75</f>
        <v>0</v>
      </c>
      <c r="AO75" s="16" t="s">
        <v>301</v>
      </c>
      <c r="AP75" s="16" t="s">
        <v>310</v>
      </c>
      <c r="AQ75" s="9" t="s">
        <v>314</v>
      </c>
      <c r="AS75" s="15">
        <f>AM75+AN75</f>
        <v>0</v>
      </c>
      <c r="AT75" s="15">
        <f>G75/(100-AU75)*100</f>
        <v>0</v>
      </c>
      <c r="AU75" s="15">
        <v>0</v>
      </c>
      <c r="AV75" s="15">
        <f>L75</f>
        <v>0.000924</v>
      </c>
    </row>
    <row r="76" spans="1:13" ht="12.75">
      <c r="A76" s="98"/>
      <c r="B76" s="98"/>
      <c r="C76" s="98"/>
      <c r="D76" s="99" t="s">
        <v>201</v>
      </c>
      <c r="E76" s="98"/>
      <c r="F76" s="100">
        <v>15.4</v>
      </c>
      <c r="G76" s="98"/>
      <c r="H76" s="98"/>
      <c r="I76" s="98"/>
      <c r="J76" s="98"/>
      <c r="K76" s="98"/>
      <c r="L76" s="98"/>
      <c r="M76" s="98"/>
    </row>
    <row r="77" spans="1:48" ht="12.75">
      <c r="A77" s="101" t="s">
        <v>37</v>
      </c>
      <c r="B77" s="101" t="s">
        <v>66</v>
      </c>
      <c r="C77" s="101" t="s">
        <v>101</v>
      </c>
      <c r="D77" s="101" t="s">
        <v>202</v>
      </c>
      <c r="E77" s="101" t="s">
        <v>264</v>
      </c>
      <c r="F77" s="102">
        <v>16.63</v>
      </c>
      <c r="G77" s="102">
        <v>0</v>
      </c>
      <c r="H77" s="102">
        <f>F77*AE77</f>
        <v>0</v>
      </c>
      <c r="I77" s="102">
        <f>J77-H77</f>
        <v>0</v>
      </c>
      <c r="J77" s="102">
        <f>F77*G77</f>
        <v>0</v>
      </c>
      <c r="K77" s="102">
        <v>0.001</v>
      </c>
      <c r="L77" s="102">
        <f>F77*K77</f>
        <v>0.01663</v>
      </c>
      <c r="M77" s="103" t="s">
        <v>284</v>
      </c>
      <c r="P77" s="15">
        <f>IF(AG77="5",J77,0)</f>
        <v>0</v>
      </c>
      <c r="R77" s="15">
        <f>IF(AG77="1",H77,0)</f>
        <v>0</v>
      </c>
      <c r="S77" s="15">
        <f>IF(AG77="1",I77,0)</f>
        <v>0</v>
      </c>
      <c r="T77" s="15">
        <f>IF(AG77="7",H77,0)</f>
        <v>0</v>
      </c>
      <c r="U77" s="15">
        <f>IF(AG77="7",I77,0)</f>
        <v>0</v>
      </c>
      <c r="V77" s="15">
        <f>IF(AG77="2",H77,0)</f>
        <v>0</v>
      </c>
      <c r="W77" s="15">
        <f>IF(AG77="2",I77,0)</f>
        <v>0</v>
      </c>
      <c r="X77" s="15">
        <f>IF(AG77="0",J77,0)</f>
        <v>0</v>
      </c>
      <c r="Y77" s="9" t="s">
        <v>66</v>
      </c>
      <c r="Z77" s="7">
        <f>IF(AD77=0,J77,0)</f>
        <v>0</v>
      </c>
      <c r="AA77" s="7">
        <f>IF(AD77=15,J77,0)</f>
        <v>0</v>
      </c>
      <c r="AB77" s="7">
        <f>IF(AD77=21,J77,0)</f>
        <v>0</v>
      </c>
      <c r="AD77" s="15">
        <v>21</v>
      </c>
      <c r="AE77" s="15">
        <f>G77*1</f>
        <v>0</v>
      </c>
      <c r="AF77" s="15">
        <f>G77*(1-1)</f>
        <v>0</v>
      </c>
      <c r="AG77" s="12" t="s">
        <v>13</v>
      </c>
      <c r="AM77" s="15">
        <f>F77*AE77</f>
        <v>0</v>
      </c>
      <c r="AN77" s="15">
        <f>F77*AF77</f>
        <v>0</v>
      </c>
      <c r="AO77" s="16" t="s">
        <v>301</v>
      </c>
      <c r="AP77" s="16" t="s">
        <v>310</v>
      </c>
      <c r="AQ77" s="9" t="s">
        <v>314</v>
      </c>
      <c r="AS77" s="15">
        <f>AM77+AN77</f>
        <v>0</v>
      </c>
      <c r="AT77" s="15">
        <f>G77/(100-AU77)*100</f>
        <v>0</v>
      </c>
      <c r="AU77" s="15">
        <v>0</v>
      </c>
      <c r="AV77" s="15">
        <f>L77</f>
        <v>0.01663</v>
      </c>
    </row>
    <row r="78" spans="1:13" ht="12.75">
      <c r="A78" s="98"/>
      <c r="B78" s="98"/>
      <c r="C78" s="98"/>
      <c r="D78" s="99" t="s">
        <v>203</v>
      </c>
      <c r="E78" s="98"/>
      <c r="F78" s="100">
        <v>16.63</v>
      </c>
      <c r="G78" s="98"/>
      <c r="H78" s="98"/>
      <c r="I78" s="98"/>
      <c r="J78" s="98"/>
      <c r="K78" s="98"/>
      <c r="L78" s="98"/>
      <c r="M78" s="98"/>
    </row>
    <row r="79" spans="1:48" ht="12.75">
      <c r="A79" s="101" t="s">
        <v>38</v>
      </c>
      <c r="B79" s="101" t="s">
        <v>66</v>
      </c>
      <c r="C79" s="101" t="s">
        <v>102</v>
      </c>
      <c r="D79" s="101" t="s">
        <v>204</v>
      </c>
      <c r="E79" s="101" t="s">
        <v>259</v>
      </c>
      <c r="F79" s="102">
        <v>0.31</v>
      </c>
      <c r="G79" s="102">
        <v>0</v>
      </c>
      <c r="H79" s="102">
        <f>F79*AE79</f>
        <v>0</v>
      </c>
      <c r="I79" s="102">
        <f>J79-H79</f>
        <v>0</v>
      </c>
      <c r="J79" s="102">
        <f>F79*G79</f>
        <v>0</v>
      </c>
      <c r="K79" s="102">
        <v>1</v>
      </c>
      <c r="L79" s="102">
        <f>F79*K79</f>
        <v>0.31</v>
      </c>
      <c r="M79" s="103" t="s">
        <v>284</v>
      </c>
      <c r="P79" s="15">
        <f>IF(AG79="5",J79,0)</f>
        <v>0</v>
      </c>
      <c r="R79" s="15">
        <f>IF(AG79="1",H79,0)</f>
        <v>0</v>
      </c>
      <c r="S79" s="15">
        <f>IF(AG79="1",I79,0)</f>
        <v>0</v>
      </c>
      <c r="T79" s="15">
        <f>IF(AG79="7",H79,0)</f>
        <v>0</v>
      </c>
      <c r="U79" s="15">
        <f>IF(AG79="7",I79,0)</f>
        <v>0</v>
      </c>
      <c r="V79" s="15">
        <f>IF(AG79="2",H79,0)</f>
        <v>0</v>
      </c>
      <c r="W79" s="15">
        <f>IF(AG79="2",I79,0)</f>
        <v>0</v>
      </c>
      <c r="X79" s="15">
        <f>IF(AG79="0",J79,0)</f>
        <v>0</v>
      </c>
      <c r="Y79" s="9" t="s">
        <v>66</v>
      </c>
      <c r="Z79" s="7">
        <f>IF(AD79=0,J79,0)</f>
        <v>0</v>
      </c>
      <c r="AA79" s="7">
        <f>IF(AD79=15,J79,0)</f>
        <v>0</v>
      </c>
      <c r="AB79" s="7">
        <f>IF(AD79=21,J79,0)</f>
        <v>0</v>
      </c>
      <c r="AD79" s="15">
        <v>21</v>
      </c>
      <c r="AE79" s="15">
        <f>G79*1</f>
        <v>0</v>
      </c>
      <c r="AF79" s="15">
        <f>G79*(1-1)</f>
        <v>0</v>
      </c>
      <c r="AG79" s="12" t="s">
        <v>13</v>
      </c>
      <c r="AM79" s="15">
        <f>F79*AE79</f>
        <v>0</v>
      </c>
      <c r="AN79" s="15">
        <f>F79*AF79</f>
        <v>0</v>
      </c>
      <c r="AO79" s="16" t="s">
        <v>301</v>
      </c>
      <c r="AP79" s="16" t="s">
        <v>310</v>
      </c>
      <c r="AQ79" s="9" t="s">
        <v>314</v>
      </c>
      <c r="AS79" s="15">
        <f>AM79+AN79</f>
        <v>0</v>
      </c>
      <c r="AT79" s="15">
        <f>G79/(100-AU79)*100</f>
        <v>0</v>
      </c>
      <c r="AU79" s="15">
        <v>0</v>
      </c>
      <c r="AV79" s="15">
        <f>L79</f>
        <v>0.31</v>
      </c>
    </row>
    <row r="80" spans="1:13" ht="12.75">
      <c r="A80" s="98"/>
      <c r="B80" s="98"/>
      <c r="C80" s="98"/>
      <c r="D80" s="99" t="s">
        <v>205</v>
      </c>
      <c r="E80" s="98"/>
      <c r="F80" s="100">
        <v>0.31</v>
      </c>
      <c r="G80" s="98"/>
      <c r="H80" s="98"/>
      <c r="I80" s="98"/>
      <c r="J80" s="98"/>
      <c r="K80" s="98"/>
      <c r="L80" s="98"/>
      <c r="M80" s="98"/>
    </row>
    <row r="81" spans="1:48" ht="12.75">
      <c r="A81" s="101" t="s">
        <v>39</v>
      </c>
      <c r="B81" s="101" t="s">
        <v>66</v>
      </c>
      <c r="C81" s="101" t="s">
        <v>103</v>
      </c>
      <c r="D81" s="101" t="s">
        <v>206</v>
      </c>
      <c r="E81" s="101" t="s">
        <v>259</v>
      </c>
      <c r="F81" s="102">
        <v>0.06</v>
      </c>
      <c r="G81" s="102">
        <v>0</v>
      </c>
      <c r="H81" s="102">
        <f>F81*AE81</f>
        <v>0</v>
      </c>
      <c r="I81" s="102">
        <f>J81-H81</f>
        <v>0</v>
      </c>
      <c r="J81" s="102">
        <f>F81*G81</f>
        <v>0</v>
      </c>
      <c r="K81" s="102">
        <v>1</v>
      </c>
      <c r="L81" s="102">
        <f>F81*K81</f>
        <v>0.06</v>
      </c>
      <c r="M81" s="103" t="s">
        <v>284</v>
      </c>
      <c r="P81" s="15">
        <f>IF(AG81="5",J81,0)</f>
        <v>0</v>
      </c>
      <c r="R81" s="15">
        <f>IF(AG81="1",H81,0)</f>
        <v>0</v>
      </c>
      <c r="S81" s="15">
        <f>IF(AG81="1",I81,0)</f>
        <v>0</v>
      </c>
      <c r="T81" s="15">
        <f>IF(AG81="7",H81,0)</f>
        <v>0</v>
      </c>
      <c r="U81" s="15">
        <f>IF(AG81="7",I81,0)</f>
        <v>0</v>
      </c>
      <c r="V81" s="15">
        <f>IF(AG81="2",H81,0)</f>
        <v>0</v>
      </c>
      <c r="W81" s="15">
        <f>IF(AG81="2",I81,0)</f>
        <v>0</v>
      </c>
      <c r="X81" s="15">
        <f>IF(AG81="0",J81,0)</f>
        <v>0</v>
      </c>
      <c r="Y81" s="9" t="s">
        <v>66</v>
      </c>
      <c r="Z81" s="7">
        <f>IF(AD81=0,J81,0)</f>
        <v>0</v>
      </c>
      <c r="AA81" s="7">
        <f>IF(AD81=15,J81,0)</f>
        <v>0</v>
      </c>
      <c r="AB81" s="7">
        <f>IF(AD81=21,J81,0)</f>
        <v>0</v>
      </c>
      <c r="AD81" s="15">
        <v>21</v>
      </c>
      <c r="AE81" s="15">
        <f>G81*1</f>
        <v>0</v>
      </c>
      <c r="AF81" s="15">
        <f>G81*(1-1)</f>
        <v>0</v>
      </c>
      <c r="AG81" s="12" t="s">
        <v>13</v>
      </c>
      <c r="AM81" s="15">
        <f>F81*AE81</f>
        <v>0</v>
      </c>
      <c r="AN81" s="15">
        <f>F81*AF81</f>
        <v>0</v>
      </c>
      <c r="AO81" s="16" t="s">
        <v>301</v>
      </c>
      <c r="AP81" s="16" t="s">
        <v>310</v>
      </c>
      <c r="AQ81" s="9" t="s">
        <v>314</v>
      </c>
      <c r="AS81" s="15">
        <f>AM81+AN81</f>
        <v>0</v>
      </c>
      <c r="AT81" s="15">
        <f>G81/(100-AU81)*100</f>
        <v>0</v>
      </c>
      <c r="AU81" s="15">
        <v>0</v>
      </c>
      <c r="AV81" s="15">
        <f>L81</f>
        <v>0.06</v>
      </c>
    </row>
    <row r="82" spans="1:13" ht="12.75">
      <c r="A82" s="98"/>
      <c r="B82" s="98"/>
      <c r="C82" s="98"/>
      <c r="D82" s="99" t="s">
        <v>207</v>
      </c>
      <c r="E82" s="98"/>
      <c r="F82" s="100">
        <v>0.06</v>
      </c>
      <c r="G82" s="98"/>
      <c r="H82" s="98"/>
      <c r="I82" s="98"/>
      <c r="J82" s="98"/>
      <c r="K82" s="98"/>
      <c r="L82" s="98"/>
      <c r="M82" s="98"/>
    </row>
    <row r="83" spans="1:48" ht="12.75">
      <c r="A83" s="95" t="s">
        <v>40</v>
      </c>
      <c r="B83" s="95" t="s">
        <v>66</v>
      </c>
      <c r="C83" s="95" t="s">
        <v>104</v>
      </c>
      <c r="D83" s="95" t="s">
        <v>208</v>
      </c>
      <c r="E83" s="95" t="s">
        <v>264</v>
      </c>
      <c r="F83" s="96">
        <v>340</v>
      </c>
      <c r="G83" s="96">
        <v>0</v>
      </c>
      <c r="H83" s="96">
        <f>F83*AE83</f>
        <v>0</v>
      </c>
      <c r="I83" s="96">
        <f>J83-H83</f>
        <v>0</v>
      </c>
      <c r="J83" s="96">
        <f>F83*G83</f>
        <v>0</v>
      </c>
      <c r="K83" s="96">
        <v>5E-05</v>
      </c>
      <c r="L83" s="96">
        <f>F83*K83</f>
        <v>0.017</v>
      </c>
      <c r="M83" s="97" t="s">
        <v>284</v>
      </c>
      <c r="P83" s="15">
        <f>IF(AG83="5",J83,0)</f>
        <v>0</v>
      </c>
      <c r="R83" s="15">
        <f>IF(AG83="1",H83,0)</f>
        <v>0</v>
      </c>
      <c r="S83" s="15">
        <f>IF(AG83="1",I83,0)</f>
        <v>0</v>
      </c>
      <c r="T83" s="15">
        <f>IF(AG83="7",H83,0)</f>
        <v>0</v>
      </c>
      <c r="U83" s="15">
        <f>IF(AG83="7",I83,0)</f>
        <v>0</v>
      </c>
      <c r="V83" s="15">
        <f>IF(AG83="2",H83,0)</f>
        <v>0</v>
      </c>
      <c r="W83" s="15">
        <f>IF(AG83="2",I83,0)</f>
        <v>0</v>
      </c>
      <c r="X83" s="15">
        <f>IF(AG83="0",J83,0)</f>
        <v>0</v>
      </c>
      <c r="Y83" s="9" t="s">
        <v>66</v>
      </c>
      <c r="Z83" s="6">
        <f>IF(AD83=0,J83,0)</f>
        <v>0</v>
      </c>
      <c r="AA83" s="6">
        <f>IF(AD83=15,J83,0)</f>
        <v>0</v>
      </c>
      <c r="AB83" s="6">
        <f>IF(AD83=21,J83,0)</f>
        <v>0</v>
      </c>
      <c r="AD83" s="15">
        <v>21</v>
      </c>
      <c r="AE83" s="15">
        <f>G83*0.200836820083682</f>
        <v>0</v>
      </c>
      <c r="AF83" s="15">
        <f>G83*(1-0.200836820083682)</f>
        <v>0</v>
      </c>
      <c r="AG83" s="11" t="s">
        <v>13</v>
      </c>
      <c r="AM83" s="15">
        <f>F83*AE83</f>
        <v>0</v>
      </c>
      <c r="AN83" s="15">
        <f>F83*AF83</f>
        <v>0</v>
      </c>
      <c r="AO83" s="16" t="s">
        <v>301</v>
      </c>
      <c r="AP83" s="16" t="s">
        <v>310</v>
      </c>
      <c r="AQ83" s="9" t="s">
        <v>314</v>
      </c>
      <c r="AS83" s="15">
        <f>AM83+AN83</f>
        <v>0</v>
      </c>
      <c r="AT83" s="15">
        <f>G83/(100-AU83)*100</f>
        <v>0</v>
      </c>
      <c r="AU83" s="15">
        <v>0</v>
      </c>
      <c r="AV83" s="15">
        <f>L83</f>
        <v>0.017</v>
      </c>
    </row>
    <row r="84" spans="1:13" ht="12.75">
      <c r="A84" s="98"/>
      <c r="B84" s="98"/>
      <c r="C84" s="98"/>
      <c r="D84" s="99" t="s">
        <v>209</v>
      </c>
      <c r="E84" s="98"/>
      <c r="F84" s="100">
        <v>290</v>
      </c>
      <c r="G84" s="98"/>
      <c r="H84" s="98"/>
      <c r="I84" s="98"/>
      <c r="J84" s="98"/>
      <c r="K84" s="98"/>
      <c r="L84" s="98"/>
      <c r="M84" s="98"/>
    </row>
    <row r="85" spans="1:13" ht="12.75">
      <c r="A85" s="98"/>
      <c r="B85" s="98"/>
      <c r="C85" s="98"/>
      <c r="D85" s="99" t="s">
        <v>56</v>
      </c>
      <c r="E85" s="98"/>
      <c r="F85" s="100">
        <v>50</v>
      </c>
      <c r="G85" s="98"/>
      <c r="H85" s="98"/>
      <c r="I85" s="98"/>
      <c r="J85" s="98"/>
      <c r="K85" s="98"/>
      <c r="L85" s="98"/>
      <c r="M85" s="98"/>
    </row>
    <row r="86" spans="1:48" ht="12.75">
      <c r="A86" s="95" t="s">
        <v>41</v>
      </c>
      <c r="B86" s="95" t="s">
        <v>66</v>
      </c>
      <c r="C86" s="95" t="s">
        <v>105</v>
      </c>
      <c r="D86" s="95" t="s">
        <v>210</v>
      </c>
      <c r="E86" s="95" t="s">
        <v>262</v>
      </c>
      <c r="F86" s="96">
        <v>359.9</v>
      </c>
      <c r="G86" s="96">
        <v>0</v>
      </c>
      <c r="H86" s="96">
        <f>F86*AE86</f>
        <v>0</v>
      </c>
      <c r="I86" s="96">
        <f>J86-H86</f>
        <v>0</v>
      </c>
      <c r="J86" s="96">
        <f>F86*G86</f>
        <v>0</v>
      </c>
      <c r="K86" s="96">
        <v>0</v>
      </c>
      <c r="L86" s="96">
        <f>F86*K86</f>
        <v>0</v>
      </c>
      <c r="M86" s="97" t="s">
        <v>284</v>
      </c>
      <c r="P86" s="15">
        <f>IF(AG86="5",J86,0)</f>
        <v>0</v>
      </c>
      <c r="R86" s="15">
        <f>IF(AG86="1",H86,0)</f>
        <v>0</v>
      </c>
      <c r="S86" s="15">
        <f>IF(AG86="1",I86,0)</f>
        <v>0</v>
      </c>
      <c r="T86" s="15">
        <f>IF(AG86="7",H86,0)</f>
        <v>0</v>
      </c>
      <c r="U86" s="15">
        <f>IF(AG86="7",I86,0)</f>
        <v>0</v>
      </c>
      <c r="V86" s="15">
        <f>IF(AG86="2",H86,0)</f>
        <v>0</v>
      </c>
      <c r="W86" s="15">
        <f>IF(AG86="2",I86,0)</f>
        <v>0</v>
      </c>
      <c r="X86" s="15">
        <f>IF(AG86="0",J86,0)</f>
        <v>0</v>
      </c>
      <c r="Y86" s="9" t="s">
        <v>66</v>
      </c>
      <c r="Z86" s="6">
        <f>IF(AD86=0,J86,0)</f>
        <v>0</v>
      </c>
      <c r="AA86" s="6">
        <f>IF(AD86=15,J86,0)</f>
        <v>0</v>
      </c>
      <c r="AB86" s="6">
        <f>IF(AD86=21,J86,0)</f>
        <v>0</v>
      </c>
      <c r="AD86" s="15">
        <v>21</v>
      </c>
      <c r="AE86" s="15">
        <f>G86*0</f>
        <v>0</v>
      </c>
      <c r="AF86" s="15">
        <f>G86*(1-0)</f>
        <v>0</v>
      </c>
      <c r="AG86" s="11" t="s">
        <v>11</v>
      </c>
      <c r="AM86" s="15">
        <f>F86*AE86</f>
        <v>0</v>
      </c>
      <c r="AN86" s="15">
        <f>F86*AF86</f>
        <v>0</v>
      </c>
      <c r="AO86" s="16" t="s">
        <v>301</v>
      </c>
      <c r="AP86" s="16" t="s">
        <v>310</v>
      </c>
      <c r="AQ86" s="9" t="s">
        <v>314</v>
      </c>
      <c r="AS86" s="15">
        <f>AM86+AN86</f>
        <v>0</v>
      </c>
      <c r="AT86" s="15">
        <f>G86/(100-AU86)*100</f>
        <v>0</v>
      </c>
      <c r="AU86" s="15">
        <v>0</v>
      </c>
      <c r="AV86" s="15">
        <f>L86</f>
        <v>0</v>
      </c>
    </row>
    <row r="87" spans="1:37" ht="12.75">
      <c r="A87" s="91"/>
      <c r="B87" s="92" t="s">
        <v>66</v>
      </c>
      <c r="C87" s="92" t="s">
        <v>106</v>
      </c>
      <c r="D87" s="92" t="s">
        <v>211</v>
      </c>
      <c r="E87" s="91" t="s">
        <v>6</v>
      </c>
      <c r="F87" s="91" t="s">
        <v>6</v>
      </c>
      <c r="G87" s="91" t="s">
        <v>6</v>
      </c>
      <c r="H87" s="93">
        <f>SUM(H88:H88)</f>
        <v>0</v>
      </c>
      <c r="I87" s="93">
        <f>SUM(I88:I88)</f>
        <v>0</v>
      </c>
      <c r="J87" s="93">
        <f>H87+I87</f>
        <v>0</v>
      </c>
      <c r="K87" s="94"/>
      <c r="L87" s="93">
        <f>SUM(L88:L88)</f>
        <v>0</v>
      </c>
      <c r="M87" s="94"/>
      <c r="Y87" s="9" t="s">
        <v>66</v>
      </c>
      <c r="AI87" s="17">
        <f>SUM(Z88:Z88)</f>
        <v>0</v>
      </c>
      <c r="AJ87" s="17">
        <f>SUM(AA88:AA88)</f>
        <v>0</v>
      </c>
      <c r="AK87" s="17">
        <f>SUM(AB88:AB88)</f>
        <v>0</v>
      </c>
    </row>
    <row r="88" spans="1:48" ht="12.75">
      <c r="A88" s="95" t="s">
        <v>42</v>
      </c>
      <c r="B88" s="95" t="s">
        <v>66</v>
      </c>
      <c r="C88" s="95" t="s">
        <v>107</v>
      </c>
      <c r="D88" s="95" t="s">
        <v>212</v>
      </c>
      <c r="E88" s="95" t="s">
        <v>258</v>
      </c>
      <c r="F88" s="96">
        <v>43.4</v>
      </c>
      <c r="G88" s="96">
        <v>0</v>
      </c>
      <c r="H88" s="96">
        <f>F88*AE88</f>
        <v>0</v>
      </c>
      <c r="I88" s="96">
        <f>J88-H88</f>
        <v>0</v>
      </c>
      <c r="J88" s="96">
        <f>F88*G88</f>
        <v>0</v>
      </c>
      <c r="K88" s="96">
        <v>0</v>
      </c>
      <c r="L88" s="96">
        <f>F88*K88</f>
        <v>0</v>
      </c>
      <c r="M88" s="97" t="s">
        <v>284</v>
      </c>
      <c r="P88" s="15">
        <f>IF(AG88="5",J88,0)</f>
        <v>0</v>
      </c>
      <c r="R88" s="15">
        <f>IF(AG88="1",H88,0)</f>
        <v>0</v>
      </c>
      <c r="S88" s="15">
        <f>IF(AG88="1",I88,0)</f>
        <v>0</v>
      </c>
      <c r="T88" s="15">
        <f>IF(AG88="7",H88,0)</f>
        <v>0</v>
      </c>
      <c r="U88" s="15">
        <f>IF(AG88="7",I88,0)</f>
        <v>0</v>
      </c>
      <c r="V88" s="15">
        <f>IF(AG88="2",H88,0)</f>
        <v>0</v>
      </c>
      <c r="W88" s="15">
        <f>IF(AG88="2",I88,0)</f>
        <v>0</v>
      </c>
      <c r="X88" s="15">
        <f>IF(AG88="0",J88,0)</f>
        <v>0</v>
      </c>
      <c r="Y88" s="9" t="s">
        <v>66</v>
      </c>
      <c r="Z88" s="6">
        <f>IF(AD88=0,J88,0)</f>
        <v>0</v>
      </c>
      <c r="AA88" s="6">
        <f>IF(AD88=15,J88,0)</f>
        <v>0</v>
      </c>
      <c r="AB88" s="6">
        <f>IF(AD88=21,J88,0)</f>
        <v>0</v>
      </c>
      <c r="AD88" s="15">
        <v>21</v>
      </c>
      <c r="AE88" s="15">
        <f>G88*0.0800522739153163</f>
        <v>0</v>
      </c>
      <c r="AF88" s="15">
        <f>G88*(1-0.0800522739153163)</f>
        <v>0</v>
      </c>
      <c r="AG88" s="11" t="s">
        <v>13</v>
      </c>
      <c r="AM88" s="15">
        <f>F88*AE88</f>
        <v>0</v>
      </c>
      <c r="AN88" s="15">
        <f>F88*AF88</f>
        <v>0</v>
      </c>
      <c r="AO88" s="16" t="s">
        <v>302</v>
      </c>
      <c r="AP88" s="16" t="s">
        <v>311</v>
      </c>
      <c r="AQ88" s="9" t="s">
        <v>314</v>
      </c>
      <c r="AS88" s="15">
        <f>AM88+AN88</f>
        <v>0</v>
      </c>
      <c r="AT88" s="15">
        <f>G88/(100-AU88)*100</f>
        <v>0</v>
      </c>
      <c r="AU88" s="15">
        <v>0</v>
      </c>
      <c r="AV88" s="15">
        <f>L88</f>
        <v>0</v>
      </c>
    </row>
    <row r="89" spans="1:37" ht="12.75">
      <c r="A89" s="91"/>
      <c r="B89" s="92" t="s">
        <v>66</v>
      </c>
      <c r="C89" s="92" t="s">
        <v>108</v>
      </c>
      <c r="D89" s="92" t="s">
        <v>213</v>
      </c>
      <c r="E89" s="91" t="s">
        <v>6</v>
      </c>
      <c r="F89" s="91" t="s">
        <v>6</v>
      </c>
      <c r="G89" s="91" t="s">
        <v>6</v>
      </c>
      <c r="H89" s="93">
        <f>SUM(H90:H104)</f>
        <v>0</v>
      </c>
      <c r="I89" s="93">
        <f>SUM(I90:I104)</f>
        <v>0</v>
      </c>
      <c r="J89" s="93">
        <f>H89+I89</f>
        <v>0</v>
      </c>
      <c r="K89" s="94"/>
      <c r="L89" s="93">
        <f>SUM(L90:L104)</f>
        <v>0.10195399999999999</v>
      </c>
      <c r="M89" s="94"/>
      <c r="Y89" s="9" t="s">
        <v>66</v>
      </c>
      <c r="AI89" s="17">
        <f>SUM(Z90:Z104)</f>
        <v>0</v>
      </c>
      <c r="AJ89" s="17">
        <f>SUM(AA90:AA104)</f>
        <v>0</v>
      </c>
      <c r="AK89" s="17">
        <f>SUM(AB90:AB104)</f>
        <v>0</v>
      </c>
    </row>
    <row r="90" spans="1:48" ht="12.75">
      <c r="A90" s="95" t="s">
        <v>43</v>
      </c>
      <c r="B90" s="95" t="s">
        <v>66</v>
      </c>
      <c r="C90" s="95" t="s">
        <v>109</v>
      </c>
      <c r="D90" s="95" t="s">
        <v>214</v>
      </c>
      <c r="E90" s="95" t="s">
        <v>258</v>
      </c>
      <c r="F90" s="96">
        <v>58.64</v>
      </c>
      <c r="G90" s="96">
        <v>0</v>
      </c>
      <c r="H90" s="96">
        <f>F90*AE90</f>
        <v>0</v>
      </c>
      <c r="I90" s="96">
        <f>J90-H90</f>
        <v>0</v>
      </c>
      <c r="J90" s="96">
        <f>F90*G90</f>
        <v>0</v>
      </c>
      <c r="K90" s="96">
        <v>0.0003</v>
      </c>
      <c r="L90" s="96">
        <f>F90*K90</f>
        <v>0.017592</v>
      </c>
      <c r="M90" s="97" t="s">
        <v>284</v>
      </c>
      <c r="P90" s="15">
        <f>IF(AG90="5",J90,0)</f>
        <v>0</v>
      </c>
      <c r="R90" s="15">
        <f>IF(AG90="1",H90,0)</f>
        <v>0</v>
      </c>
      <c r="S90" s="15">
        <f>IF(AG90="1",I90,0)</f>
        <v>0</v>
      </c>
      <c r="T90" s="15">
        <f>IF(AG90="7",H90,0)</f>
        <v>0</v>
      </c>
      <c r="U90" s="15">
        <f>IF(AG90="7",I90,0)</f>
        <v>0</v>
      </c>
      <c r="V90" s="15">
        <f>IF(AG90="2",H90,0)</f>
        <v>0</v>
      </c>
      <c r="W90" s="15">
        <f>IF(AG90="2",I90,0)</f>
        <v>0</v>
      </c>
      <c r="X90" s="15">
        <f>IF(AG90="0",J90,0)</f>
        <v>0</v>
      </c>
      <c r="Y90" s="9" t="s">
        <v>66</v>
      </c>
      <c r="Z90" s="6">
        <f>IF(AD90=0,J90,0)</f>
        <v>0</v>
      </c>
      <c r="AA90" s="6">
        <f>IF(AD90=15,J90,0)</f>
        <v>0</v>
      </c>
      <c r="AB90" s="6">
        <f>IF(AD90=21,J90,0)</f>
        <v>0</v>
      </c>
      <c r="AD90" s="15">
        <v>21</v>
      </c>
      <c r="AE90" s="15">
        <f>G90*0.233982562314084</f>
        <v>0</v>
      </c>
      <c r="AF90" s="15">
        <f>G90*(1-0.233982562314084)</f>
        <v>0</v>
      </c>
      <c r="AG90" s="11" t="s">
        <v>13</v>
      </c>
      <c r="AM90" s="15">
        <f>F90*AE90</f>
        <v>0</v>
      </c>
      <c r="AN90" s="15">
        <f>F90*AF90</f>
        <v>0</v>
      </c>
      <c r="AO90" s="16" t="s">
        <v>303</v>
      </c>
      <c r="AP90" s="16" t="s">
        <v>312</v>
      </c>
      <c r="AQ90" s="9" t="s">
        <v>314</v>
      </c>
      <c r="AS90" s="15">
        <f>AM90+AN90</f>
        <v>0</v>
      </c>
      <c r="AT90" s="15">
        <f>G90/(100-AU90)*100</f>
        <v>0</v>
      </c>
      <c r="AU90" s="15">
        <v>0</v>
      </c>
      <c r="AV90" s="15">
        <f>L90</f>
        <v>0.017592</v>
      </c>
    </row>
    <row r="91" spans="1:13" ht="12.75">
      <c r="A91" s="98"/>
      <c r="B91" s="98"/>
      <c r="C91" s="98"/>
      <c r="D91" s="99" t="s">
        <v>215</v>
      </c>
      <c r="E91" s="98"/>
      <c r="F91" s="100">
        <v>16.64</v>
      </c>
      <c r="G91" s="98"/>
      <c r="H91" s="98"/>
      <c r="I91" s="98"/>
      <c r="J91" s="98"/>
      <c r="K91" s="98"/>
      <c r="L91" s="98"/>
      <c r="M91" s="98"/>
    </row>
    <row r="92" spans="1:13" ht="12.75">
      <c r="A92" s="98"/>
      <c r="B92" s="98"/>
      <c r="C92" s="98"/>
      <c r="D92" s="99" t="s">
        <v>216</v>
      </c>
      <c r="E92" s="98"/>
      <c r="F92" s="100">
        <v>30.48</v>
      </c>
      <c r="G92" s="98"/>
      <c r="H92" s="98"/>
      <c r="I92" s="98"/>
      <c r="J92" s="98"/>
      <c r="K92" s="98"/>
      <c r="L92" s="98"/>
      <c r="M92" s="98"/>
    </row>
    <row r="93" spans="1:13" ht="12.75">
      <c r="A93" s="98"/>
      <c r="B93" s="98"/>
      <c r="C93" s="98"/>
      <c r="D93" s="99" t="s">
        <v>217</v>
      </c>
      <c r="E93" s="98"/>
      <c r="F93" s="100">
        <v>11.52</v>
      </c>
      <c r="G93" s="98"/>
      <c r="H93" s="98"/>
      <c r="I93" s="98"/>
      <c r="J93" s="98"/>
      <c r="K93" s="98"/>
      <c r="L93" s="98"/>
      <c r="M93" s="98"/>
    </row>
    <row r="94" spans="1:48" ht="12.75">
      <c r="A94" s="95" t="s">
        <v>44</v>
      </c>
      <c r="B94" s="95" t="s">
        <v>66</v>
      </c>
      <c r="C94" s="95" t="s">
        <v>110</v>
      </c>
      <c r="D94" s="95" t="s">
        <v>218</v>
      </c>
      <c r="E94" s="95" t="s">
        <v>258</v>
      </c>
      <c r="F94" s="96">
        <v>56</v>
      </c>
      <c r="G94" s="96">
        <v>0</v>
      </c>
      <c r="H94" s="96">
        <f aca="true" t="shared" si="0" ref="H94:H100">F94*AE94</f>
        <v>0</v>
      </c>
      <c r="I94" s="96">
        <f aca="true" t="shared" si="1" ref="I94:I100">J94-H94</f>
        <v>0</v>
      </c>
      <c r="J94" s="96">
        <f aca="true" t="shared" si="2" ref="J94:J100">F94*G94</f>
        <v>0</v>
      </c>
      <c r="K94" s="96">
        <v>1E-05</v>
      </c>
      <c r="L94" s="96">
        <f aca="true" t="shared" si="3" ref="L94:L100">F94*K94</f>
        <v>0.0005600000000000001</v>
      </c>
      <c r="M94" s="97" t="s">
        <v>284</v>
      </c>
      <c r="P94" s="15">
        <f aca="true" t="shared" si="4" ref="P94:P100">IF(AG94="5",J94,0)</f>
        <v>0</v>
      </c>
      <c r="R94" s="15">
        <f aca="true" t="shared" si="5" ref="R94:R100">IF(AG94="1",H94,0)</f>
        <v>0</v>
      </c>
      <c r="S94" s="15">
        <f aca="true" t="shared" si="6" ref="S94:S100">IF(AG94="1",I94,0)</f>
        <v>0</v>
      </c>
      <c r="T94" s="15">
        <f aca="true" t="shared" si="7" ref="T94:T100">IF(AG94="7",H94,0)</f>
        <v>0</v>
      </c>
      <c r="U94" s="15">
        <f aca="true" t="shared" si="8" ref="U94:U100">IF(AG94="7",I94,0)</f>
        <v>0</v>
      </c>
      <c r="V94" s="15">
        <f aca="true" t="shared" si="9" ref="V94:V100">IF(AG94="2",H94,0)</f>
        <v>0</v>
      </c>
      <c r="W94" s="15">
        <f aca="true" t="shared" si="10" ref="W94:W100">IF(AG94="2",I94,0)</f>
        <v>0</v>
      </c>
      <c r="X94" s="15">
        <f aca="true" t="shared" si="11" ref="X94:X100">IF(AG94="0",J94,0)</f>
        <v>0</v>
      </c>
      <c r="Y94" s="9" t="s">
        <v>66</v>
      </c>
      <c r="Z94" s="6">
        <f aca="true" t="shared" si="12" ref="Z94:Z100">IF(AD94=0,J94,0)</f>
        <v>0</v>
      </c>
      <c r="AA94" s="6">
        <f aca="true" t="shared" si="13" ref="AA94:AA100">IF(AD94=15,J94,0)</f>
        <v>0</v>
      </c>
      <c r="AB94" s="6">
        <f aca="true" t="shared" si="14" ref="AB94:AB100">IF(AD94=21,J94,0)</f>
        <v>0</v>
      </c>
      <c r="AD94" s="15">
        <v>21</v>
      </c>
      <c r="AE94" s="15">
        <f>G94*0.0611111111111111</f>
        <v>0</v>
      </c>
      <c r="AF94" s="15">
        <f>G94*(1-0.0611111111111111)</f>
        <v>0</v>
      </c>
      <c r="AG94" s="11" t="s">
        <v>13</v>
      </c>
      <c r="AM94" s="15">
        <f aca="true" t="shared" si="15" ref="AM94:AM100">F94*AE94</f>
        <v>0</v>
      </c>
      <c r="AN94" s="15">
        <f aca="true" t="shared" si="16" ref="AN94:AN100">F94*AF94</f>
        <v>0</v>
      </c>
      <c r="AO94" s="16" t="s">
        <v>303</v>
      </c>
      <c r="AP94" s="16" t="s">
        <v>312</v>
      </c>
      <c r="AQ94" s="9" t="s">
        <v>314</v>
      </c>
      <c r="AS94" s="15">
        <f aca="true" t="shared" si="17" ref="AS94:AS100">AM94+AN94</f>
        <v>0</v>
      </c>
      <c r="AT94" s="15">
        <f aca="true" t="shared" si="18" ref="AT94:AT100">G94/(100-AU94)*100</f>
        <v>0</v>
      </c>
      <c r="AU94" s="15">
        <v>0</v>
      </c>
      <c r="AV94" s="15">
        <f aca="true" t="shared" si="19" ref="AV94:AV100">L94</f>
        <v>0.0005600000000000001</v>
      </c>
    </row>
    <row r="95" spans="1:48" ht="12.75">
      <c r="A95" s="95" t="s">
        <v>45</v>
      </c>
      <c r="B95" s="95" t="s">
        <v>66</v>
      </c>
      <c r="C95" s="95" t="s">
        <v>111</v>
      </c>
      <c r="D95" s="95" t="s">
        <v>219</v>
      </c>
      <c r="E95" s="95" t="s">
        <v>258</v>
      </c>
      <c r="F95" s="96">
        <v>56</v>
      </c>
      <c r="G95" s="96">
        <v>0</v>
      </c>
      <c r="H95" s="96">
        <f t="shared" si="0"/>
        <v>0</v>
      </c>
      <c r="I95" s="96">
        <f t="shared" si="1"/>
        <v>0</v>
      </c>
      <c r="J95" s="96">
        <f t="shared" si="2"/>
        <v>0</v>
      </c>
      <c r="K95" s="96">
        <v>7E-05</v>
      </c>
      <c r="L95" s="96">
        <f t="shared" si="3"/>
        <v>0.00392</v>
      </c>
      <c r="M95" s="97" t="s">
        <v>284</v>
      </c>
      <c r="P95" s="15">
        <f t="shared" si="4"/>
        <v>0</v>
      </c>
      <c r="R95" s="15">
        <f t="shared" si="5"/>
        <v>0</v>
      </c>
      <c r="S95" s="15">
        <f t="shared" si="6"/>
        <v>0</v>
      </c>
      <c r="T95" s="15">
        <f t="shared" si="7"/>
        <v>0</v>
      </c>
      <c r="U95" s="15">
        <f t="shared" si="8"/>
        <v>0</v>
      </c>
      <c r="V95" s="15">
        <f t="shared" si="9"/>
        <v>0</v>
      </c>
      <c r="W95" s="15">
        <f t="shared" si="10"/>
        <v>0</v>
      </c>
      <c r="X95" s="15">
        <f t="shared" si="11"/>
        <v>0</v>
      </c>
      <c r="Y95" s="9" t="s">
        <v>66</v>
      </c>
      <c r="Z95" s="6">
        <f t="shared" si="12"/>
        <v>0</v>
      </c>
      <c r="AA95" s="6">
        <f t="shared" si="13"/>
        <v>0</v>
      </c>
      <c r="AB95" s="6">
        <f t="shared" si="14"/>
        <v>0</v>
      </c>
      <c r="AD95" s="15">
        <v>21</v>
      </c>
      <c r="AE95" s="15">
        <f>G95*0.0777566539923954</f>
        <v>0</v>
      </c>
      <c r="AF95" s="15">
        <f>G95*(1-0.0777566539923954)</f>
        <v>0</v>
      </c>
      <c r="AG95" s="11" t="s">
        <v>13</v>
      </c>
      <c r="AM95" s="15">
        <f t="shared" si="15"/>
        <v>0</v>
      </c>
      <c r="AN95" s="15">
        <f t="shared" si="16"/>
        <v>0</v>
      </c>
      <c r="AO95" s="16" t="s">
        <v>303</v>
      </c>
      <c r="AP95" s="16" t="s">
        <v>312</v>
      </c>
      <c r="AQ95" s="9" t="s">
        <v>314</v>
      </c>
      <c r="AS95" s="15">
        <f t="shared" si="17"/>
        <v>0</v>
      </c>
      <c r="AT95" s="15">
        <f t="shared" si="18"/>
        <v>0</v>
      </c>
      <c r="AU95" s="15">
        <v>0</v>
      </c>
      <c r="AV95" s="15">
        <f t="shared" si="19"/>
        <v>0.00392</v>
      </c>
    </row>
    <row r="96" spans="1:48" ht="12.75">
      <c r="A96" s="95" t="s">
        <v>46</v>
      </c>
      <c r="B96" s="95" t="s">
        <v>66</v>
      </c>
      <c r="C96" s="95" t="s">
        <v>112</v>
      </c>
      <c r="D96" s="95" t="s">
        <v>220</v>
      </c>
      <c r="E96" s="95" t="s">
        <v>258</v>
      </c>
      <c r="F96" s="96">
        <v>56</v>
      </c>
      <c r="G96" s="96">
        <v>0</v>
      </c>
      <c r="H96" s="96">
        <f t="shared" si="0"/>
        <v>0</v>
      </c>
      <c r="I96" s="96">
        <f t="shared" si="1"/>
        <v>0</v>
      </c>
      <c r="J96" s="96">
        <f t="shared" si="2"/>
        <v>0</v>
      </c>
      <c r="K96" s="96">
        <v>0.0005</v>
      </c>
      <c r="L96" s="96">
        <f t="shared" si="3"/>
        <v>0.028</v>
      </c>
      <c r="M96" s="97" t="s">
        <v>284</v>
      </c>
      <c r="P96" s="15">
        <f t="shared" si="4"/>
        <v>0</v>
      </c>
      <c r="R96" s="15">
        <f t="shared" si="5"/>
        <v>0</v>
      </c>
      <c r="S96" s="15">
        <f t="shared" si="6"/>
        <v>0</v>
      </c>
      <c r="T96" s="15">
        <f t="shared" si="7"/>
        <v>0</v>
      </c>
      <c r="U96" s="15">
        <f t="shared" si="8"/>
        <v>0</v>
      </c>
      <c r="V96" s="15">
        <f t="shared" si="9"/>
        <v>0</v>
      </c>
      <c r="W96" s="15">
        <f t="shared" si="10"/>
        <v>0</v>
      </c>
      <c r="X96" s="15">
        <f t="shared" si="11"/>
        <v>0</v>
      </c>
      <c r="Y96" s="9" t="s">
        <v>66</v>
      </c>
      <c r="Z96" s="6">
        <f t="shared" si="12"/>
        <v>0</v>
      </c>
      <c r="AA96" s="6">
        <f t="shared" si="13"/>
        <v>0</v>
      </c>
      <c r="AB96" s="6">
        <f t="shared" si="14"/>
        <v>0</v>
      </c>
      <c r="AD96" s="15">
        <v>21</v>
      </c>
      <c r="AE96" s="15">
        <f>G96*0.358981233243968</f>
        <v>0</v>
      </c>
      <c r="AF96" s="15">
        <f>G96*(1-0.358981233243968)</f>
        <v>0</v>
      </c>
      <c r="AG96" s="11" t="s">
        <v>13</v>
      </c>
      <c r="AM96" s="15">
        <f t="shared" si="15"/>
        <v>0</v>
      </c>
      <c r="AN96" s="15">
        <f t="shared" si="16"/>
        <v>0</v>
      </c>
      <c r="AO96" s="16" t="s">
        <v>303</v>
      </c>
      <c r="AP96" s="16" t="s">
        <v>312</v>
      </c>
      <c r="AQ96" s="9" t="s">
        <v>314</v>
      </c>
      <c r="AS96" s="15">
        <f t="shared" si="17"/>
        <v>0</v>
      </c>
      <c r="AT96" s="15">
        <f t="shared" si="18"/>
        <v>0</v>
      </c>
      <c r="AU96" s="15">
        <v>0</v>
      </c>
      <c r="AV96" s="15">
        <f t="shared" si="19"/>
        <v>0.028</v>
      </c>
    </row>
    <row r="97" spans="1:48" ht="12.75">
      <c r="A97" s="95" t="s">
        <v>47</v>
      </c>
      <c r="B97" s="95" t="s">
        <v>66</v>
      </c>
      <c r="C97" s="95" t="s">
        <v>113</v>
      </c>
      <c r="D97" s="95" t="s">
        <v>221</v>
      </c>
      <c r="E97" s="95" t="s">
        <v>258</v>
      </c>
      <c r="F97" s="96">
        <v>56</v>
      </c>
      <c r="G97" s="96">
        <v>0</v>
      </c>
      <c r="H97" s="96">
        <f t="shared" si="0"/>
        <v>0</v>
      </c>
      <c r="I97" s="96">
        <f t="shared" si="1"/>
        <v>0</v>
      </c>
      <c r="J97" s="96">
        <f t="shared" si="2"/>
        <v>0</v>
      </c>
      <c r="K97" s="96">
        <v>1E-05</v>
      </c>
      <c r="L97" s="96">
        <f t="shared" si="3"/>
        <v>0.0005600000000000001</v>
      </c>
      <c r="M97" s="97" t="s">
        <v>284</v>
      </c>
      <c r="P97" s="15">
        <f t="shared" si="4"/>
        <v>0</v>
      </c>
      <c r="R97" s="15">
        <f t="shared" si="5"/>
        <v>0</v>
      </c>
      <c r="S97" s="15">
        <f t="shared" si="6"/>
        <v>0</v>
      </c>
      <c r="T97" s="15">
        <f t="shared" si="7"/>
        <v>0</v>
      </c>
      <c r="U97" s="15">
        <f t="shared" si="8"/>
        <v>0</v>
      </c>
      <c r="V97" s="15">
        <f t="shared" si="9"/>
        <v>0</v>
      </c>
      <c r="W97" s="15">
        <f t="shared" si="10"/>
        <v>0</v>
      </c>
      <c r="X97" s="15">
        <f t="shared" si="11"/>
        <v>0</v>
      </c>
      <c r="Y97" s="9" t="s">
        <v>66</v>
      </c>
      <c r="Z97" s="6">
        <f t="shared" si="12"/>
        <v>0</v>
      </c>
      <c r="AA97" s="6">
        <f t="shared" si="13"/>
        <v>0</v>
      </c>
      <c r="AB97" s="6">
        <f t="shared" si="14"/>
        <v>0</v>
      </c>
      <c r="AD97" s="15">
        <v>21</v>
      </c>
      <c r="AE97" s="15">
        <f>G97*0.0497830043399132</f>
        <v>0</v>
      </c>
      <c r="AF97" s="15">
        <f>G97*(1-0.0497830043399132)</f>
        <v>0</v>
      </c>
      <c r="AG97" s="11" t="s">
        <v>13</v>
      </c>
      <c r="AM97" s="15">
        <f t="shared" si="15"/>
        <v>0</v>
      </c>
      <c r="AN97" s="15">
        <f t="shared" si="16"/>
        <v>0</v>
      </c>
      <c r="AO97" s="16" t="s">
        <v>303</v>
      </c>
      <c r="AP97" s="16" t="s">
        <v>312</v>
      </c>
      <c r="AQ97" s="9" t="s">
        <v>314</v>
      </c>
      <c r="AS97" s="15">
        <f t="shared" si="17"/>
        <v>0</v>
      </c>
      <c r="AT97" s="15">
        <f t="shared" si="18"/>
        <v>0</v>
      </c>
      <c r="AU97" s="15">
        <v>0</v>
      </c>
      <c r="AV97" s="15">
        <f t="shared" si="19"/>
        <v>0.0005600000000000001</v>
      </c>
    </row>
    <row r="98" spans="1:48" ht="12.75">
      <c r="A98" s="95" t="s">
        <v>48</v>
      </c>
      <c r="B98" s="95" t="s">
        <v>66</v>
      </c>
      <c r="C98" s="95" t="s">
        <v>114</v>
      </c>
      <c r="D98" s="95" t="s">
        <v>222</v>
      </c>
      <c r="E98" s="95" t="s">
        <v>258</v>
      </c>
      <c r="F98" s="96">
        <v>43.4</v>
      </c>
      <c r="G98" s="96">
        <v>0</v>
      </c>
      <c r="H98" s="96">
        <f t="shared" si="0"/>
        <v>0</v>
      </c>
      <c r="I98" s="96">
        <f t="shared" si="1"/>
        <v>0</v>
      </c>
      <c r="J98" s="96">
        <f t="shared" si="2"/>
        <v>0</v>
      </c>
      <c r="K98" s="96">
        <v>9E-05</v>
      </c>
      <c r="L98" s="96">
        <f t="shared" si="3"/>
        <v>0.003906</v>
      </c>
      <c r="M98" s="97" t="s">
        <v>284</v>
      </c>
      <c r="P98" s="15">
        <f t="shared" si="4"/>
        <v>0</v>
      </c>
      <c r="R98" s="15">
        <f t="shared" si="5"/>
        <v>0</v>
      </c>
      <c r="S98" s="15">
        <f t="shared" si="6"/>
        <v>0</v>
      </c>
      <c r="T98" s="15">
        <f t="shared" si="7"/>
        <v>0</v>
      </c>
      <c r="U98" s="15">
        <f t="shared" si="8"/>
        <v>0</v>
      </c>
      <c r="V98" s="15">
        <f t="shared" si="9"/>
        <v>0</v>
      </c>
      <c r="W98" s="15">
        <f t="shared" si="10"/>
        <v>0</v>
      </c>
      <c r="X98" s="15">
        <f t="shared" si="11"/>
        <v>0</v>
      </c>
      <c r="Y98" s="9" t="s">
        <v>66</v>
      </c>
      <c r="Z98" s="6">
        <f t="shared" si="12"/>
        <v>0</v>
      </c>
      <c r="AA98" s="6">
        <f t="shared" si="13"/>
        <v>0</v>
      </c>
      <c r="AB98" s="6">
        <f t="shared" si="14"/>
        <v>0</v>
      </c>
      <c r="AD98" s="15">
        <v>21</v>
      </c>
      <c r="AE98" s="15">
        <f>G98*0.390558679784195</f>
        <v>0</v>
      </c>
      <c r="AF98" s="15">
        <f>G98*(1-0.390558679784195)</f>
        <v>0</v>
      </c>
      <c r="AG98" s="11" t="s">
        <v>13</v>
      </c>
      <c r="AM98" s="15">
        <f t="shared" si="15"/>
        <v>0</v>
      </c>
      <c r="AN98" s="15">
        <f t="shared" si="16"/>
        <v>0</v>
      </c>
      <c r="AO98" s="16" t="s">
        <v>303</v>
      </c>
      <c r="AP98" s="16" t="s">
        <v>312</v>
      </c>
      <c r="AQ98" s="9" t="s">
        <v>314</v>
      </c>
      <c r="AS98" s="15">
        <f t="shared" si="17"/>
        <v>0</v>
      </c>
      <c r="AT98" s="15">
        <f t="shared" si="18"/>
        <v>0</v>
      </c>
      <c r="AU98" s="15">
        <v>0</v>
      </c>
      <c r="AV98" s="15">
        <f t="shared" si="19"/>
        <v>0.003906</v>
      </c>
    </row>
    <row r="99" spans="1:48" ht="12.75">
      <c r="A99" s="95" t="s">
        <v>49</v>
      </c>
      <c r="B99" s="95" t="s">
        <v>66</v>
      </c>
      <c r="C99" s="95" t="s">
        <v>115</v>
      </c>
      <c r="D99" s="95" t="s">
        <v>223</v>
      </c>
      <c r="E99" s="95" t="s">
        <v>258</v>
      </c>
      <c r="F99" s="96">
        <v>43.4</v>
      </c>
      <c r="G99" s="96">
        <v>0</v>
      </c>
      <c r="H99" s="96">
        <f t="shared" si="0"/>
        <v>0</v>
      </c>
      <c r="I99" s="96">
        <f t="shared" si="1"/>
        <v>0</v>
      </c>
      <c r="J99" s="96">
        <f t="shared" si="2"/>
        <v>0</v>
      </c>
      <c r="K99" s="96">
        <v>0.0002</v>
      </c>
      <c r="L99" s="96">
        <f t="shared" si="3"/>
        <v>0.00868</v>
      </c>
      <c r="M99" s="97" t="s">
        <v>284</v>
      </c>
      <c r="P99" s="15">
        <f t="shared" si="4"/>
        <v>0</v>
      </c>
      <c r="R99" s="15">
        <f t="shared" si="5"/>
        <v>0</v>
      </c>
      <c r="S99" s="15">
        <f t="shared" si="6"/>
        <v>0</v>
      </c>
      <c r="T99" s="15">
        <f t="shared" si="7"/>
        <v>0</v>
      </c>
      <c r="U99" s="15">
        <f t="shared" si="8"/>
        <v>0</v>
      </c>
      <c r="V99" s="15">
        <f t="shared" si="9"/>
        <v>0</v>
      </c>
      <c r="W99" s="15">
        <f t="shared" si="10"/>
        <v>0</v>
      </c>
      <c r="X99" s="15">
        <f t="shared" si="11"/>
        <v>0</v>
      </c>
      <c r="Y99" s="9" t="s">
        <v>66</v>
      </c>
      <c r="Z99" s="6">
        <f t="shared" si="12"/>
        <v>0</v>
      </c>
      <c r="AA99" s="6">
        <f t="shared" si="13"/>
        <v>0</v>
      </c>
      <c r="AB99" s="6">
        <f t="shared" si="14"/>
        <v>0</v>
      </c>
      <c r="AD99" s="15">
        <v>21</v>
      </c>
      <c r="AE99" s="15">
        <f>G99*0.676956843290969</f>
        <v>0</v>
      </c>
      <c r="AF99" s="15">
        <f>G99*(1-0.676956843290969)</f>
        <v>0</v>
      </c>
      <c r="AG99" s="11" t="s">
        <v>13</v>
      </c>
      <c r="AM99" s="15">
        <f t="shared" si="15"/>
        <v>0</v>
      </c>
      <c r="AN99" s="15">
        <f t="shared" si="16"/>
        <v>0</v>
      </c>
      <c r="AO99" s="16" t="s">
        <v>303</v>
      </c>
      <c r="AP99" s="16" t="s">
        <v>312</v>
      </c>
      <c r="AQ99" s="9" t="s">
        <v>314</v>
      </c>
      <c r="AS99" s="15">
        <f t="shared" si="17"/>
        <v>0</v>
      </c>
      <c r="AT99" s="15">
        <f t="shared" si="18"/>
        <v>0</v>
      </c>
      <c r="AU99" s="15">
        <v>0</v>
      </c>
      <c r="AV99" s="15">
        <f t="shared" si="19"/>
        <v>0.00868</v>
      </c>
    </row>
    <row r="100" spans="1:48" ht="12.75">
      <c r="A100" s="95" t="s">
        <v>50</v>
      </c>
      <c r="B100" s="95" t="s">
        <v>66</v>
      </c>
      <c r="C100" s="95" t="s">
        <v>116</v>
      </c>
      <c r="D100" s="95" t="s">
        <v>224</v>
      </c>
      <c r="E100" s="95" t="s">
        <v>258</v>
      </c>
      <c r="F100" s="96">
        <v>107.32</v>
      </c>
      <c r="G100" s="96">
        <v>0</v>
      </c>
      <c r="H100" s="96">
        <f t="shared" si="0"/>
        <v>0</v>
      </c>
      <c r="I100" s="96">
        <f t="shared" si="1"/>
        <v>0</v>
      </c>
      <c r="J100" s="96">
        <f t="shared" si="2"/>
        <v>0</v>
      </c>
      <c r="K100" s="96">
        <v>0.00032</v>
      </c>
      <c r="L100" s="96">
        <f t="shared" si="3"/>
        <v>0.0343424</v>
      </c>
      <c r="M100" s="97" t="s">
        <v>284</v>
      </c>
      <c r="P100" s="15">
        <f t="shared" si="4"/>
        <v>0</v>
      </c>
      <c r="R100" s="15">
        <f t="shared" si="5"/>
        <v>0</v>
      </c>
      <c r="S100" s="15">
        <f t="shared" si="6"/>
        <v>0</v>
      </c>
      <c r="T100" s="15">
        <f t="shared" si="7"/>
        <v>0</v>
      </c>
      <c r="U100" s="15">
        <f t="shared" si="8"/>
        <v>0</v>
      </c>
      <c r="V100" s="15">
        <f t="shared" si="9"/>
        <v>0</v>
      </c>
      <c r="W100" s="15">
        <f t="shared" si="10"/>
        <v>0</v>
      </c>
      <c r="X100" s="15">
        <f t="shared" si="11"/>
        <v>0</v>
      </c>
      <c r="Y100" s="9" t="s">
        <v>66</v>
      </c>
      <c r="Z100" s="6">
        <f t="shared" si="12"/>
        <v>0</v>
      </c>
      <c r="AA100" s="6">
        <f t="shared" si="13"/>
        <v>0</v>
      </c>
      <c r="AB100" s="6">
        <f t="shared" si="14"/>
        <v>0</v>
      </c>
      <c r="AD100" s="15">
        <v>21</v>
      </c>
      <c r="AE100" s="15">
        <f>G100*0.335401939626319</f>
        <v>0</v>
      </c>
      <c r="AF100" s="15">
        <f>G100*(1-0.335401939626319)</f>
        <v>0</v>
      </c>
      <c r="AG100" s="11" t="s">
        <v>13</v>
      </c>
      <c r="AM100" s="15">
        <f t="shared" si="15"/>
        <v>0</v>
      </c>
      <c r="AN100" s="15">
        <f t="shared" si="16"/>
        <v>0</v>
      </c>
      <c r="AO100" s="16" t="s">
        <v>303</v>
      </c>
      <c r="AP100" s="16" t="s">
        <v>312</v>
      </c>
      <c r="AQ100" s="9" t="s">
        <v>314</v>
      </c>
      <c r="AS100" s="15">
        <f t="shared" si="17"/>
        <v>0</v>
      </c>
      <c r="AT100" s="15">
        <f t="shared" si="18"/>
        <v>0</v>
      </c>
      <c r="AU100" s="15">
        <v>0</v>
      </c>
      <c r="AV100" s="15">
        <f t="shared" si="19"/>
        <v>0.0343424</v>
      </c>
    </row>
    <row r="101" spans="1:13" ht="12.75">
      <c r="A101" s="98"/>
      <c r="B101" s="98"/>
      <c r="C101" s="98"/>
      <c r="D101" s="99" t="s">
        <v>225</v>
      </c>
      <c r="E101" s="98"/>
      <c r="F101" s="100">
        <v>57</v>
      </c>
      <c r="G101" s="98"/>
      <c r="H101" s="98"/>
      <c r="I101" s="98"/>
      <c r="J101" s="98"/>
      <c r="K101" s="98"/>
      <c r="L101" s="98"/>
      <c r="M101" s="98"/>
    </row>
    <row r="102" spans="1:13" ht="12.75">
      <c r="A102" s="98"/>
      <c r="B102" s="98"/>
      <c r="C102" s="98"/>
      <c r="D102" s="99" t="s">
        <v>226</v>
      </c>
      <c r="E102" s="98"/>
      <c r="F102" s="100">
        <v>4.66</v>
      </c>
      <c r="G102" s="98"/>
      <c r="H102" s="98"/>
      <c r="I102" s="98"/>
      <c r="J102" s="98"/>
      <c r="K102" s="98"/>
      <c r="L102" s="98"/>
      <c r="M102" s="98"/>
    </row>
    <row r="103" spans="1:13" ht="12.75">
      <c r="A103" s="98"/>
      <c r="B103" s="98"/>
      <c r="C103" s="98"/>
      <c r="D103" s="99" t="s">
        <v>227</v>
      </c>
      <c r="E103" s="98"/>
      <c r="F103" s="100">
        <v>45.66</v>
      </c>
      <c r="G103" s="98"/>
      <c r="H103" s="98"/>
      <c r="I103" s="98"/>
      <c r="J103" s="98"/>
      <c r="K103" s="98"/>
      <c r="L103" s="98"/>
      <c r="M103" s="98"/>
    </row>
    <row r="104" spans="1:48" ht="12.75">
      <c r="A104" s="95" t="s">
        <v>51</v>
      </c>
      <c r="B104" s="95" t="s">
        <v>66</v>
      </c>
      <c r="C104" s="95" t="s">
        <v>117</v>
      </c>
      <c r="D104" s="95" t="s">
        <v>228</v>
      </c>
      <c r="E104" s="95" t="s">
        <v>258</v>
      </c>
      <c r="F104" s="96">
        <v>13.73</v>
      </c>
      <c r="G104" s="96">
        <v>0</v>
      </c>
      <c r="H104" s="96">
        <f>F104*AE104</f>
        <v>0</v>
      </c>
      <c r="I104" s="96">
        <f>J104-H104</f>
        <v>0</v>
      </c>
      <c r="J104" s="96">
        <f>F104*G104</f>
        <v>0</v>
      </c>
      <c r="K104" s="96">
        <v>0.00032</v>
      </c>
      <c r="L104" s="96">
        <f>F104*K104</f>
        <v>0.0043936</v>
      </c>
      <c r="M104" s="97" t="s">
        <v>284</v>
      </c>
      <c r="P104" s="15">
        <f>IF(AG104="5",J104,0)</f>
        <v>0</v>
      </c>
      <c r="R104" s="15">
        <f>IF(AG104="1",H104,0)</f>
        <v>0</v>
      </c>
      <c r="S104" s="15">
        <f>IF(AG104="1",I104,0)</f>
        <v>0</v>
      </c>
      <c r="T104" s="15">
        <f>IF(AG104="7",H104,0)</f>
        <v>0</v>
      </c>
      <c r="U104" s="15">
        <f>IF(AG104="7",I104,0)</f>
        <v>0</v>
      </c>
      <c r="V104" s="15">
        <f>IF(AG104="2",H104,0)</f>
        <v>0</v>
      </c>
      <c r="W104" s="15">
        <f>IF(AG104="2",I104,0)</f>
        <v>0</v>
      </c>
      <c r="X104" s="15">
        <f>IF(AG104="0",J104,0)</f>
        <v>0</v>
      </c>
      <c r="Y104" s="9" t="s">
        <v>66</v>
      </c>
      <c r="Z104" s="6">
        <f>IF(AD104=0,J104,0)</f>
        <v>0</v>
      </c>
      <c r="AA104" s="6">
        <f>IF(AD104=15,J104,0)</f>
        <v>0</v>
      </c>
      <c r="AB104" s="6">
        <f>IF(AD104=21,J104,0)</f>
        <v>0</v>
      </c>
      <c r="AD104" s="15">
        <v>21</v>
      </c>
      <c r="AE104" s="15">
        <f>G104*0.554287574679466</f>
        <v>0</v>
      </c>
      <c r="AF104" s="15">
        <f>G104*(1-0.554287574679466)</f>
        <v>0</v>
      </c>
      <c r="AG104" s="11" t="s">
        <v>13</v>
      </c>
      <c r="AM104" s="15">
        <f>F104*AE104</f>
        <v>0</v>
      </c>
      <c r="AN104" s="15">
        <f>F104*AF104</f>
        <v>0</v>
      </c>
      <c r="AO104" s="16" t="s">
        <v>303</v>
      </c>
      <c r="AP104" s="16" t="s">
        <v>312</v>
      </c>
      <c r="AQ104" s="9" t="s">
        <v>314</v>
      </c>
      <c r="AS104" s="15">
        <f>AM104+AN104</f>
        <v>0</v>
      </c>
      <c r="AT104" s="15">
        <f>G104/(100-AU104)*100</f>
        <v>0</v>
      </c>
      <c r="AU104" s="15">
        <v>0</v>
      </c>
      <c r="AV104" s="15">
        <f>L104</f>
        <v>0.0043936</v>
      </c>
    </row>
    <row r="105" spans="1:13" ht="12.75">
      <c r="A105" s="98"/>
      <c r="B105" s="98"/>
      <c r="C105" s="98"/>
      <c r="D105" s="99" t="s">
        <v>229</v>
      </c>
      <c r="E105" s="98"/>
      <c r="F105" s="100">
        <v>0.49</v>
      </c>
      <c r="G105" s="98"/>
      <c r="H105" s="98"/>
      <c r="I105" s="98"/>
      <c r="J105" s="98"/>
      <c r="K105" s="98"/>
      <c r="L105" s="98"/>
      <c r="M105" s="98"/>
    </row>
    <row r="106" spans="1:13" ht="12.75">
      <c r="A106" s="98"/>
      <c r="B106" s="98"/>
      <c r="C106" s="98"/>
      <c r="D106" s="99" t="s">
        <v>230</v>
      </c>
      <c r="E106" s="98"/>
      <c r="F106" s="100">
        <v>11</v>
      </c>
      <c r="G106" s="98"/>
      <c r="H106" s="98"/>
      <c r="I106" s="98"/>
      <c r="J106" s="98"/>
      <c r="K106" s="98"/>
      <c r="L106" s="98"/>
      <c r="M106" s="98"/>
    </row>
    <row r="107" spans="1:13" ht="12.75">
      <c r="A107" s="98"/>
      <c r="B107" s="98"/>
      <c r="C107" s="98"/>
      <c r="D107" s="99" t="s">
        <v>231</v>
      </c>
      <c r="E107" s="98"/>
      <c r="F107" s="100">
        <v>2.24</v>
      </c>
      <c r="G107" s="98"/>
      <c r="H107" s="98"/>
      <c r="I107" s="98"/>
      <c r="J107" s="98"/>
      <c r="K107" s="98"/>
      <c r="L107" s="98"/>
      <c r="M107" s="98"/>
    </row>
    <row r="108" spans="1:37" ht="12.75">
      <c r="A108" s="91"/>
      <c r="B108" s="92" t="s">
        <v>66</v>
      </c>
      <c r="C108" s="92" t="s">
        <v>118</v>
      </c>
      <c r="D108" s="92" t="s">
        <v>232</v>
      </c>
      <c r="E108" s="91" t="s">
        <v>6</v>
      </c>
      <c r="F108" s="91" t="s">
        <v>6</v>
      </c>
      <c r="G108" s="91" t="s">
        <v>6</v>
      </c>
      <c r="H108" s="93">
        <f>SUM(H109:H117)</f>
        <v>0</v>
      </c>
      <c r="I108" s="93">
        <f>SUM(I109:I117)</f>
        <v>0</v>
      </c>
      <c r="J108" s="93">
        <f>H108+I108</f>
        <v>0</v>
      </c>
      <c r="K108" s="94"/>
      <c r="L108" s="93">
        <f>SUM(L109:L117)</f>
        <v>3.2759595000000004</v>
      </c>
      <c r="M108" s="94"/>
      <c r="Y108" s="9" t="s">
        <v>66</v>
      </c>
      <c r="AI108" s="17">
        <f>SUM(Z109:Z117)</f>
        <v>0</v>
      </c>
      <c r="AJ108" s="17">
        <f>SUM(AA109:AA117)</f>
        <v>0</v>
      </c>
      <c r="AK108" s="17">
        <f>SUM(AB109:AB117)</f>
        <v>0</v>
      </c>
    </row>
    <row r="109" spans="1:48" ht="12.75">
      <c r="A109" s="95" t="s">
        <v>52</v>
      </c>
      <c r="B109" s="95" t="s">
        <v>66</v>
      </c>
      <c r="C109" s="95" t="s">
        <v>119</v>
      </c>
      <c r="D109" s="95" t="s">
        <v>233</v>
      </c>
      <c r="E109" s="95" t="s">
        <v>265</v>
      </c>
      <c r="F109" s="96">
        <v>1</v>
      </c>
      <c r="G109" s="96">
        <v>0</v>
      </c>
      <c r="H109" s="96">
        <f>F109*AE109</f>
        <v>0</v>
      </c>
      <c r="I109" s="96">
        <f>J109-H109</f>
        <v>0</v>
      </c>
      <c r="J109" s="96">
        <f>F109*G109</f>
        <v>0</v>
      </c>
      <c r="K109" s="96">
        <v>0</v>
      </c>
      <c r="L109" s="96">
        <f>F109*K109</f>
        <v>0</v>
      </c>
      <c r="M109" s="97" t="s">
        <v>286</v>
      </c>
      <c r="P109" s="15">
        <f>IF(AG109="5",J109,0)</f>
        <v>0</v>
      </c>
      <c r="R109" s="15">
        <f>IF(AG109="1",H109,0)</f>
        <v>0</v>
      </c>
      <c r="S109" s="15">
        <f>IF(AG109="1",I109,0)</f>
        <v>0</v>
      </c>
      <c r="T109" s="15">
        <f>IF(AG109="7",H109,0)</f>
        <v>0</v>
      </c>
      <c r="U109" s="15">
        <f>IF(AG109="7",I109,0)</f>
        <v>0</v>
      </c>
      <c r="V109" s="15">
        <f>IF(AG109="2",H109,0)</f>
        <v>0</v>
      </c>
      <c r="W109" s="15">
        <f>IF(AG109="2",I109,0)</f>
        <v>0</v>
      </c>
      <c r="X109" s="15">
        <f>IF(AG109="0",J109,0)</f>
        <v>0</v>
      </c>
      <c r="Y109" s="9" t="s">
        <v>66</v>
      </c>
      <c r="Z109" s="6">
        <f>IF(AD109=0,J109,0)</f>
        <v>0</v>
      </c>
      <c r="AA109" s="6">
        <f>IF(AD109=15,J109,0)</f>
        <v>0</v>
      </c>
      <c r="AB109" s="6">
        <f>IF(AD109=21,J109,0)</f>
        <v>0</v>
      </c>
      <c r="AD109" s="15">
        <v>21</v>
      </c>
      <c r="AE109" s="15">
        <f>G109*0</f>
        <v>0</v>
      </c>
      <c r="AF109" s="15">
        <f>G109*(1-0)</f>
        <v>0</v>
      </c>
      <c r="AG109" s="11" t="s">
        <v>7</v>
      </c>
      <c r="AM109" s="15">
        <f>F109*AE109</f>
        <v>0</v>
      </c>
      <c r="AN109" s="15">
        <f>F109*AF109</f>
        <v>0</v>
      </c>
      <c r="AO109" s="16" t="s">
        <v>304</v>
      </c>
      <c r="AP109" s="16" t="s">
        <v>313</v>
      </c>
      <c r="AQ109" s="9" t="s">
        <v>314</v>
      </c>
      <c r="AS109" s="15">
        <f>AM109+AN109</f>
        <v>0</v>
      </c>
      <c r="AT109" s="15">
        <f>G109/(100-AU109)*100</f>
        <v>0</v>
      </c>
      <c r="AU109" s="15">
        <v>0</v>
      </c>
      <c r="AV109" s="15">
        <f>L109</f>
        <v>0</v>
      </c>
    </row>
    <row r="110" spans="1:48" ht="12.75">
      <c r="A110" s="95" t="s">
        <v>53</v>
      </c>
      <c r="B110" s="95" t="s">
        <v>66</v>
      </c>
      <c r="C110" s="95" t="s">
        <v>120</v>
      </c>
      <c r="D110" s="95" t="s">
        <v>234</v>
      </c>
      <c r="E110" s="95" t="s">
        <v>257</v>
      </c>
      <c r="F110" s="96">
        <v>308.55</v>
      </c>
      <c r="G110" s="96">
        <v>0</v>
      </c>
      <c r="H110" s="96">
        <f>F110*AE110</f>
        <v>0</v>
      </c>
      <c r="I110" s="96">
        <f>J110-H110</f>
        <v>0</v>
      </c>
      <c r="J110" s="96">
        <f>F110*G110</f>
        <v>0</v>
      </c>
      <c r="K110" s="96">
        <v>0.00735</v>
      </c>
      <c r="L110" s="96">
        <f>F110*K110</f>
        <v>2.2678425</v>
      </c>
      <c r="M110" s="97" t="s">
        <v>284</v>
      </c>
      <c r="P110" s="15">
        <f>IF(AG110="5",J110,0)</f>
        <v>0</v>
      </c>
      <c r="R110" s="15">
        <f>IF(AG110="1",H110,0)</f>
        <v>0</v>
      </c>
      <c r="S110" s="15">
        <f>IF(AG110="1",I110,0)</f>
        <v>0</v>
      </c>
      <c r="T110" s="15">
        <f>IF(AG110="7",H110,0)</f>
        <v>0</v>
      </c>
      <c r="U110" s="15">
        <f>IF(AG110="7",I110,0)</f>
        <v>0</v>
      </c>
      <c r="V110" s="15">
        <f>IF(AG110="2",H110,0)</f>
        <v>0</v>
      </c>
      <c r="W110" s="15">
        <f>IF(AG110="2",I110,0)</f>
        <v>0</v>
      </c>
      <c r="X110" s="15">
        <f>IF(AG110="0",J110,0)</f>
        <v>0</v>
      </c>
      <c r="Y110" s="9" t="s">
        <v>66</v>
      </c>
      <c r="Z110" s="6">
        <f>IF(AD110=0,J110,0)</f>
        <v>0</v>
      </c>
      <c r="AA110" s="6">
        <f>IF(AD110=15,J110,0)</f>
        <v>0</v>
      </c>
      <c r="AB110" s="6">
        <f>IF(AD110=21,J110,0)</f>
        <v>0</v>
      </c>
      <c r="AD110" s="15">
        <v>21</v>
      </c>
      <c r="AE110" s="15">
        <f>G110*0.00148149037307341</f>
        <v>0</v>
      </c>
      <c r="AF110" s="15">
        <f>G110*(1-0.00148149037307341)</f>
        <v>0</v>
      </c>
      <c r="AG110" s="11" t="s">
        <v>7</v>
      </c>
      <c r="AM110" s="15">
        <f>F110*AE110</f>
        <v>0</v>
      </c>
      <c r="AN110" s="15">
        <f>F110*AF110</f>
        <v>0</v>
      </c>
      <c r="AO110" s="16" t="s">
        <v>304</v>
      </c>
      <c r="AP110" s="16" t="s">
        <v>313</v>
      </c>
      <c r="AQ110" s="9" t="s">
        <v>314</v>
      </c>
      <c r="AS110" s="15">
        <f>AM110+AN110</f>
        <v>0</v>
      </c>
      <c r="AT110" s="15">
        <f>G110/(100-AU110)*100</f>
        <v>0</v>
      </c>
      <c r="AU110" s="15">
        <v>0</v>
      </c>
      <c r="AV110" s="15">
        <f>L110</f>
        <v>2.2678425</v>
      </c>
    </row>
    <row r="111" spans="1:13" ht="12.75">
      <c r="A111" s="98"/>
      <c r="B111" s="98"/>
      <c r="C111" s="98"/>
      <c r="D111" s="99" t="s">
        <v>235</v>
      </c>
      <c r="E111" s="98"/>
      <c r="F111" s="100">
        <v>308.55</v>
      </c>
      <c r="G111" s="98"/>
      <c r="H111" s="98"/>
      <c r="I111" s="98"/>
      <c r="J111" s="98"/>
      <c r="K111" s="98"/>
      <c r="L111" s="98"/>
      <c r="M111" s="98"/>
    </row>
    <row r="112" spans="1:48" ht="12.75">
      <c r="A112" s="95" t="s">
        <v>54</v>
      </c>
      <c r="B112" s="95" t="s">
        <v>66</v>
      </c>
      <c r="C112" s="95" t="s">
        <v>121</v>
      </c>
      <c r="D112" s="95" t="s">
        <v>236</v>
      </c>
      <c r="E112" s="95" t="s">
        <v>257</v>
      </c>
      <c r="F112" s="96">
        <v>308.55</v>
      </c>
      <c r="G112" s="96">
        <v>0</v>
      </c>
      <c r="H112" s="96">
        <f>F112*AE112</f>
        <v>0</v>
      </c>
      <c r="I112" s="96">
        <f>J112-H112</f>
        <v>0</v>
      </c>
      <c r="J112" s="96">
        <f>F112*G112</f>
        <v>0</v>
      </c>
      <c r="K112" s="96">
        <v>0.00012</v>
      </c>
      <c r="L112" s="96">
        <f>F112*K112</f>
        <v>0.037026</v>
      </c>
      <c r="M112" s="97" t="s">
        <v>284</v>
      </c>
      <c r="P112" s="15">
        <f>IF(AG112="5",J112,0)</f>
        <v>0</v>
      </c>
      <c r="R112" s="15">
        <f>IF(AG112="1",H112,0)</f>
        <v>0</v>
      </c>
      <c r="S112" s="15">
        <f>IF(AG112="1",I112,0)</f>
        <v>0</v>
      </c>
      <c r="T112" s="15">
        <f>IF(AG112="7",H112,0)</f>
        <v>0</v>
      </c>
      <c r="U112" s="15">
        <f>IF(AG112="7",I112,0)</f>
        <v>0</v>
      </c>
      <c r="V112" s="15">
        <f>IF(AG112="2",H112,0)</f>
        <v>0</v>
      </c>
      <c r="W112" s="15">
        <f>IF(AG112="2",I112,0)</f>
        <v>0</v>
      </c>
      <c r="X112" s="15">
        <f>IF(AG112="0",J112,0)</f>
        <v>0</v>
      </c>
      <c r="Y112" s="9" t="s">
        <v>66</v>
      </c>
      <c r="Z112" s="6">
        <f>IF(AD112=0,J112,0)</f>
        <v>0</v>
      </c>
      <c r="AA112" s="6">
        <f>IF(AD112=15,J112,0)</f>
        <v>0</v>
      </c>
      <c r="AB112" s="6">
        <f>IF(AD112=21,J112,0)</f>
        <v>0</v>
      </c>
      <c r="AD112" s="15">
        <v>21</v>
      </c>
      <c r="AE112" s="15">
        <f>G112*0.920007846615721</f>
        <v>0</v>
      </c>
      <c r="AF112" s="15">
        <f>G112*(1-0.920007846615721)</f>
        <v>0</v>
      </c>
      <c r="AG112" s="11" t="s">
        <v>7</v>
      </c>
      <c r="AM112" s="15">
        <f>F112*AE112</f>
        <v>0</v>
      </c>
      <c r="AN112" s="15">
        <f>F112*AF112</f>
        <v>0</v>
      </c>
      <c r="AO112" s="16" t="s">
        <v>304</v>
      </c>
      <c r="AP112" s="16" t="s">
        <v>313</v>
      </c>
      <c r="AQ112" s="9" t="s">
        <v>314</v>
      </c>
      <c r="AS112" s="15">
        <f>AM112+AN112</f>
        <v>0</v>
      </c>
      <c r="AT112" s="15">
        <f>G112/(100-AU112)*100</f>
        <v>0</v>
      </c>
      <c r="AU112" s="15">
        <v>0</v>
      </c>
      <c r="AV112" s="15">
        <f>L112</f>
        <v>0.037026</v>
      </c>
    </row>
    <row r="113" spans="1:48" ht="12.75">
      <c r="A113" s="95" t="s">
        <v>55</v>
      </c>
      <c r="B113" s="95" t="s">
        <v>66</v>
      </c>
      <c r="C113" s="95" t="s">
        <v>122</v>
      </c>
      <c r="D113" s="95" t="s">
        <v>237</v>
      </c>
      <c r="E113" s="95" t="s">
        <v>257</v>
      </c>
      <c r="F113" s="96">
        <v>308.55</v>
      </c>
      <c r="G113" s="96">
        <v>0</v>
      </c>
      <c r="H113" s="96">
        <f>F113*AE113</f>
        <v>0</v>
      </c>
      <c r="I113" s="96">
        <f>J113-H113</f>
        <v>0</v>
      </c>
      <c r="J113" s="96">
        <f>F113*G113</f>
        <v>0</v>
      </c>
      <c r="K113" s="96">
        <v>0</v>
      </c>
      <c r="L113" s="96">
        <f>F113*K113</f>
        <v>0</v>
      </c>
      <c r="M113" s="97" t="s">
        <v>284</v>
      </c>
      <c r="P113" s="15">
        <f>IF(AG113="5",J113,0)</f>
        <v>0</v>
      </c>
      <c r="R113" s="15">
        <f>IF(AG113="1",H113,0)</f>
        <v>0</v>
      </c>
      <c r="S113" s="15">
        <f>IF(AG113="1",I113,0)</f>
        <v>0</v>
      </c>
      <c r="T113" s="15">
        <f>IF(AG113="7",H113,0)</f>
        <v>0</v>
      </c>
      <c r="U113" s="15">
        <f>IF(AG113="7",I113,0)</f>
        <v>0</v>
      </c>
      <c r="V113" s="15">
        <f>IF(AG113="2",H113,0)</f>
        <v>0</v>
      </c>
      <c r="W113" s="15">
        <f>IF(AG113="2",I113,0)</f>
        <v>0</v>
      </c>
      <c r="X113" s="15">
        <f>IF(AG113="0",J113,0)</f>
        <v>0</v>
      </c>
      <c r="Y113" s="9" t="s">
        <v>66</v>
      </c>
      <c r="Z113" s="6">
        <f>IF(AD113=0,J113,0)</f>
        <v>0</v>
      </c>
      <c r="AA113" s="6">
        <f>IF(AD113=15,J113,0)</f>
        <v>0</v>
      </c>
      <c r="AB113" s="6">
        <f>IF(AD113=21,J113,0)</f>
        <v>0</v>
      </c>
      <c r="AD113" s="15">
        <v>21</v>
      </c>
      <c r="AE113" s="15">
        <f>G113*0</f>
        <v>0</v>
      </c>
      <c r="AF113" s="15">
        <f>G113*(1-0)</f>
        <v>0</v>
      </c>
      <c r="AG113" s="11" t="s">
        <v>7</v>
      </c>
      <c r="AM113" s="15">
        <f>F113*AE113</f>
        <v>0</v>
      </c>
      <c r="AN113" s="15">
        <f>F113*AF113</f>
        <v>0</v>
      </c>
      <c r="AO113" s="16" t="s">
        <v>304</v>
      </c>
      <c r="AP113" s="16" t="s">
        <v>313</v>
      </c>
      <c r="AQ113" s="9" t="s">
        <v>314</v>
      </c>
      <c r="AS113" s="15">
        <f>AM113+AN113</f>
        <v>0</v>
      </c>
      <c r="AT113" s="15">
        <f>G113/(100-AU113)*100</f>
        <v>0</v>
      </c>
      <c r="AU113" s="15">
        <v>0</v>
      </c>
      <c r="AV113" s="15">
        <f>L113</f>
        <v>0</v>
      </c>
    </row>
    <row r="114" spans="1:48" ht="12.75">
      <c r="A114" s="95" t="s">
        <v>56</v>
      </c>
      <c r="B114" s="95" t="s">
        <v>66</v>
      </c>
      <c r="C114" s="95" t="s">
        <v>123</v>
      </c>
      <c r="D114" s="95" t="s">
        <v>238</v>
      </c>
      <c r="E114" s="95" t="s">
        <v>258</v>
      </c>
      <c r="F114" s="96">
        <v>56.1</v>
      </c>
      <c r="G114" s="96">
        <v>0</v>
      </c>
      <c r="H114" s="96">
        <f>F114*AE114</f>
        <v>0</v>
      </c>
      <c r="I114" s="96">
        <f>J114-H114</f>
        <v>0</v>
      </c>
      <c r="J114" s="96">
        <f>F114*G114</f>
        <v>0</v>
      </c>
      <c r="K114" s="96">
        <v>0.01691</v>
      </c>
      <c r="L114" s="96">
        <f>F114*K114</f>
        <v>0.9486510000000001</v>
      </c>
      <c r="M114" s="97" t="s">
        <v>284</v>
      </c>
      <c r="P114" s="15">
        <f>IF(AG114="5",J114,0)</f>
        <v>0</v>
      </c>
      <c r="R114" s="15">
        <f>IF(AG114="1",H114,0)</f>
        <v>0</v>
      </c>
      <c r="S114" s="15">
        <f>IF(AG114="1",I114,0)</f>
        <v>0</v>
      </c>
      <c r="T114" s="15">
        <f>IF(AG114="7",H114,0)</f>
        <v>0</v>
      </c>
      <c r="U114" s="15">
        <f>IF(AG114="7",I114,0)</f>
        <v>0</v>
      </c>
      <c r="V114" s="15">
        <f>IF(AG114="2",H114,0)</f>
        <v>0</v>
      </c>
      <c r="W114" s="15">
        <f>IF(AG114="2",I114,0)</f>
        <v>0</v>
      </c>
      <c r="X114" s="15">
        <f>IF(AG114="0",J114,0)</f>
        <v>0</v>
      </c>
      <c r="Y114" s="9" t="s">
        <v>66</v>
      </c>
      <c r="Z114" s="6">
        <f>IF(AD114=0,J114,0)</f>
        <v>0</v>
      </c>
      <c r="AA114" s="6">
        <f>IF(AD114=15,J114,0)</f>
        <v>0</v>
      </c>
      <c r="AB114" s="6">
        <f>IF(AD114=21,J114,0)</f>
        <v>0</v>
      </c>
      <c r="AD114" s="15">
        <v>21</v>
      </c>
      <c r="AE114" s="15">
        <f>G114*0.000326789771072406</f>
        <v>0</v>
      </c>
      <c r="AF114" s="15">
        <f>G114*(1-0.000326789771072406)</f>
        <v>0</v>
      </c>
      <c r="AG114" s="11" t="s">
        <v>7</v>
      </c>
      <c r="AM114" s="15">
        <f>F114*AE114</f>
        <v>0</v>
      </c>
      <c r="AN114" s="15">
        <f>F114*AF114</f>
        <v>0</v>
      </c>
      <c r="AO114" s="16" t="s">
        <v>304</v>
      </c>
      <c r="AP114" s="16" t="s">
        <v>313</v>
      </c>
      <c r="AQ114" s="9" t="s">
        <v>314</v>
      </c>
      <c r="AS114" s="15">
        <f>AM114+AN114</f>
        <v>0</v>
      </c>
      <c r="AT114" s="15">
        <f>G114/(100-AU114)*100</f>
        <v>0</v>
      </c>
      <c r="AU114" s="15">
        <v>0</v>
      </c>
      <c r="AV114" s="15">
        <f>L114</f>
        <v>0.9486510000000001</v>
      </c>
    </row>
    <row r="115" spans="1:13" ht="12.75">
      <c r="A115" s="98"/>
      <c r="B115" s="98"/>
      <c r="C115" s="98"/>
      <c r="D115" s="99" t="s">
        <v>239</v>
      </c>
      <c r="E115" s="98"/>
      <c r="F115" s="100">
        <v>56.1</v>
      </c>
      <c r="G115" s="98"/>
      <c r="H115" s="98"/>
      <c r="I115" s="98"/>
      <c r="J115" s="98"/>
      <c r="K115" s="98"/>
      <c r="L115" s="98"/>
      <c r="M115" s="98"/>
    </row>
    <row r="116" spans="1:48" ht="12.75">
      <c r="A116" s="95" t="s">
        <v>57</v>
      </c>
      <c r="B116" s="95" t="s">
        <v>66</v>
      </c>
      <c r="C116" s="95" t="s">
        <v>124</v>
      </c>
      <c r="D116" s="95" t="s">
        <v>240</v>
      </c>
      <c r="E116" s="95" t="s">
        <v>258</v>
      </c>
      <c r="F116" s="96">
        <v>56.1</v>
      </c>
      <c r="G116" s="96">
        <v>0</v>
      </c>
      <c r="H116" s="96">
        <f>F116*AE116</f>
        <v>0</v>
      </c>
      <c r="I116" s="96">
        <f>J116-H116</f>
        <v>0</v>
      </c>
      <c r="J116" s="96">
        <f>F116*G116</f>
        <v>0</v>
      </c>
      <c r="K116" s="96">
        <v>0.0004</v>
      </c>
      <c r="L116" s="96">
        <f>F116*K116</f>
        <v>0.02244</v>
      </c>
      <c r="M116" s="97" t="s">
        <v>284</v>
      </c>
      <c r="P116" s="15">
        <f>IF(AG116="5",J116,0)</f>
        <v>0</v>
      </c>
      <c r="R116" s="15">
        <f>IF(AG116="1",H116,0)</f>
        <v>0</v>
      </c>
      <c r="S116" s="15">
        <f>IF(AG116="1",I116,0)</f>
        <v>0</v>
      </c>
      <c r="T116" s="15">
        <f>IF(AG116="7",H116,0)</f>
        <v>0</v>
      </c>
      <c r="U116" s="15">
        <f>IF(AG116="7",I116,0)</f>
        <v>0</v>
      </c>
      <c r="V116" s="15">
        <f>IF(AG116="2",H116,0)</f>
        <v>0</v>
      </c>
      <c r="W116" s="15">
        <f>IF(AG116="2",I116,0)</f>
        <v>0</v>
      </c>
      <c r="X116" s="15">
        <f>IF(AG116="0",J116,0)</f>
        <v>0</v>
      </c>
      <c r="Y116" s="9" t="s">
        <v>66</v>
      </c>
      <c r="Z116" s="6">
        <f>IF(AD116=0,J116,0)</f>
        <v>0</v>
      </c>
      <c r="AA116" s="6">
        <f>IF(AD116=15,J116,0)</f>
        <v>0</v>
      </c>
      <c r="AB116" s="6">
        <f>IF(AD116=21,J116,0)</f>
        <v>0</v>
      </c>
      <c r="AD116" s="15">
        <v>21</v>
      </c>
      <c r="AE116" s="15">
        <f>G116*0.942843019772319</f>
        <v>0</v>
      </c>
      <c r="AF116" s="15">
        <f>G116*(1-0.942843019772319)</f>
        <v>0</v>
      </c>
      <c r="AG116" s="11" t="s">
        <v>7</v>
      </c>
      <c r="AM116" s="15">
        <f>F116*AE116</f>
        <v>0</v>
      </c>
      <c r="AN116" s="15">
        <f>F116*AF116</f>
        <v>0</v>
      </c>
      <c r="AO116" s="16" t="s">
        <v>304</v>
      </c>
      <c r="AP116" s="16" t="s">
        <v>313</v>
      </c>
      <c r="AQ116" s="9" t="s">
        <v>314</v>
      </c>
      <c r="AS116" s="15">
        <f>AM116+AN116</f>
        <v>0</v>
      </c>
      <c r="AT116" s="15">
        <f>G116/(100-AU116)*100</f>
        <v>0</v>
      </c>
      <c r="AU116" s="15">
        <v>0</v>
      </c>
      <c r="AV116" s="15">
        <f>L116</f>
        <v>0.02244</v>
      </c>
    </row>
    <row r="117" spans="1:48" ht="12.75">
      <c r="A117" s="95" t="s">
        <v>58</v>
      </c>
      <c r="B117" s="95" t="s">
        <v>66</v>
      </c>
      <c r="C117" s="95" t="s">
        <v>125</v>
      </c>
      <c r="D117" s="95" t="s">
        <v>241</v>
      </c>
      <c r="E117" s="95" t="s">
        <v>258</v>
      </c>
      <c r="F117" s="96">
        <v>56.1</v>
      </c>
      <c r="G117" s="96">
        <v>0</v>
      </c>
      <c r="H117" s="96">
        <f>F117*AE117</f>
        <v>0</v>
      </c>
      <c r="I117" s="96">
        <f>J117-H117</f>
        <v>0</v>
      </c>
      <c r="J117" s="96">
        <f>F117*G117</f>
        <v>0</v>
      </c>
      <c r="K117" s="96">
        <v>0</v>
      </c>
      <c r="L117" s="96">
        <f>F117*K117</f>
        <v>0</v>
      </c>
      <c r="M117" s="97" t="s">
        <v>284</v>
      </c>
      <c r="P117" s="15">
        <f>IF(AG117="5",J117,0)</f>
        <v>0</v>
      </c>
      <c r="R117" s="15">
        <f>IF(AG117="1",H117,0)</f>
        <v>0</v>
      </c>
      <c r="S117" s="15">
        <f>IF(AG117="1",I117,0)</f>
        <v>0</v>
      </c>
      <c r="T117" s="15">
        <f>IF(AG117="7",H117,0)</f>
        <v>0</v>
      </c>
      <c r="U117" s="15">
        <f>IF(AG117="7",I117,0)</f>
        <v>0</v>
      </c>
      <c r="V117" s="15">
        <f>IF(AG117="2",H117,0)</f>
        <v>0</v>
      </c>
      <c r="W117" s="15">
        <f>IF(AG117="2",I117,0)</f>
        <v>0</v>
      </c>
      <c r="X117" s="15">
        <f>IF(AG117="0",J117,0)</f>
        <v>0</v>
      </c>
      <c r="Y117" s="9" t="s">
        <v>66</v>
      </c>
      <c r="Z117" s="6">
        <f>IF(AD117=0,J117,0)</f>
        <v>0</v>
      </c>
      <c r="AA117" s="6">
        <f>IF(AD117=15,J117,0)</f>
        <v>0</v>
      </c>
      <c r="AB117" s="6">
        <f>IF(AD117=21,J117,0)</f>
        <v>0</v>
      </c>
      <c r="AD117" s="15">
        <v>21</v>
      </c>
      <c r="AE117" s="15">
        <f>G117*0</f>
        <v>0</v>
      </c>
      <c r="AF117" s="15">
        <f>G117*(1-0)</f>
        <v>0</v>
      </c>
      <c r="AG117" s="11" t="s">
        <v>7</v>
      </c>
      <c r="AM117" s="15">
        <f>F117*AE117</f>
        <v>0</v>
      </c>
      <c r="AN117" s="15">
        <f>F117*AF117</f>
        <v>0</v>
      </c>
      <c r="AO117" s="16" t="s">
        <v>304</v>
      </c>
      <c r="AP117" s="16" t="s">
        <v>313</v>
      </c>
      <c r="AQ117" s="9" t="s">
        <v>314</v>
      </c>
      <c r="AS117" s="15">
        <f>AM117+AN117</f>
        <v>0</v>
      </c>
      <c r="AT117" s="15">
        <f>G117/(100-AU117)*100</f>
        <v>0</v>
      </c>
      <c r="AU117" s="15">
        <v>0</v>
      </c>
      <c r="AV117" s="15">
        <f>L117</f>
        <v>0</v>
      </c>
    </row>
    <row r="118" spans="1:37" ht="12.75">
      <c r="A118" s="91"/>
      <c r="B118" s="92" t="s">
        <v>66</v>
      </c>
      <c r="C118" s="92" t="s">
        <v>126</v>
      </c>
      <c r="D118" s="92" t="s">
        <v>242</v>
      </c>
      <c r="E118" s="91" t="s">
        <v>6</v>
      </c>
      <c r="F118" s="91" t="s">
        <v>6</v>
      </c>
      <c r="G118" s="91" t="s">
        <v>6</v>
      </c>
      <c r="H118" s="93">
        <f>SUM(H119:H119)</f>
        <v>0</v>
      </c>
      <c r="I118" s="93">
        <f>SUM(I119:I119)</f>
        <v>0</v>
      </c>
      <c r="J118" s="93">
        <f>H118+I118</f>
        <v>0</v>
      </c>
      <c r="K118" s="94"/>
      <c r="L118" s="93">
        <f>SUM(L119:L119)</f>
        <v>0</v>
      </c>
      <c r="M118" s="94"/>
      <c r="Y118" s="9" t="s">
        <v>66</v>
      </c>
      <c r="AI118" s="17">
        <f>SUM(Z119:Z119)</f>
        <v>0</v>
      </c>
      <c r="AJ118" s="17">
        <f>SUM(AA119:AA119)</f>
        <v>0</v>
      </c>
      <c r="AK118" s="17">
        <f>SUM(AB119:AB119)</f>
        <v>0</v>
      </c>
    </row>
    <row r="119" spans="1:48" ht="12.75">
      <c r="A119" s="95" t="s">
        <v>59</v>
      </c>
      <c r="B119" s="95" t="s">
        <v>66</v>
      </c>
      <c r="C119" s="95" t="s">
        <v>127</v>
      </c>
      <c r="D119" s="95" t="s">
        <v>243</v>
      </c>
      <c r="E119" s="95" t="s">
        <v>259</v>
      </c>
      <c r="F119" s="96">
        <v>9.04</v>
      </c>
      <c r="G119" s="96">
        <v>0</v>
      </c>
      <c r="H119" s="96">
        <f>F119*AE119</f>
        <v>0</v>
      </c>
      <c r="I119" s="96">
        <f>J119-H119</f>
        <v>0</v>
      </c>
      <c r="J119" s="96">
        <f>F119*G119</f>
        <v>0</v>
      </c>
      <c r="K119" s="96">
        <v>0</v>
      </c>
      <c r="L119" s="96">
        <f>F119*K119</f>
        <v>0</v>
      </c>
      <c r="M119" s="97" t="s">
        <v>284</v>
      </c>
      <c r="P119" s="15">
        <f>IF(AG119="5",J119,0)</f>
        <v>0</v>
      </c>
      <c r="R119" s="15">
        <f>IF(AG119="1",H119,0)</f>
        <v>0</v>
      </c>
      <c r="S119" s="15">
        <f>IF(AG119="1",I119,0)</f>
        <v>0</v>
      </c>
      <c r="T119" s="15">
        <f>IF(AG119="7",H119,0)</f>
        <v>0</v>
      </c>
      <c r="U119" s="15">
        <f>IF(AG119="7",I119,0)</f>
        <v>0</v>
      </c>
      <c r="V119" s="15">
        <f>IF(AG119="2",H119,0)</f>
        <v>0</v>
      </c>
      <c r="W119" s="15">
        <f>IF(AG119="2",I119,0)</f>
        <v>0</v>
      </c>
      <c r="X119" s="15">
        <f>IF(AG119="0",J119,0)</f>
        <v>0</v>
      </c>
      <c r="Y119" s="9" t="s">
        <v>66</v>
      </c>
      <c r="Z119" s="6">
        <f>IF(AD119=0,J119,0)</f>
        <v>0</v>
      </c>
      <c r="AA119" s="6">
        <f>IF(AD119=15,J119,0)</f>
        <v>0</v>
      </c>
      <c r="AB119" s="6">
        <f>IF(AD119=21,J119,0)</f>
        <v>0</v>
      </c>
      <c r="AD119" s="15">
        <v>21</v>
      </c>
      <c r="AE119" s="15">
        <f>G119*0</f>
        <v>0</v>
      </c>
      <c r="AF119" s="15">
        <f>G119*(1-0)</f>
        <v>0</v>
      </c>
      <c r="AG119" s="11" t="s">
        <v>11</v>
      </c>
      <c r="AM119" s="15">
        <f>F119*AE119</f>
        <v>0</v>
      </c>
      <c r="AN119" s="15">
        <f>F119*AF119</f>
        <v>0</v>
      </c>
      <c r="AO119" s="16" t="s">
        <v>305</v>
      </c>
      <c r="AP119" s="16" t="s">
        <v>313</v>
      </c>
      <c r="AQ119" s="9" t="s">
        <v>314</v>
      </c>
      <c r="AS119" s="15">
        <f>AM119+AN119</f>
        <v>0</v>
      </c>
      <c r="AT119" s="15">
        <f>G119/(100-AU119)*100</f>
        <v>0</v>
      </c>
      <c r="AU119" s="15">
        <v>0</v>
      </c>
      <c r="AV119" s="15">
        <f>L119</f>
        <v>0</v>
      </c>
    </row>
    <row r="120" spans="1:37" ht="12.75">
      <c r="A120" s="91"/>
      <c r="B120" s="92" t="s">
        <v>66</v>
      </c>
      <c r="C120" s="92" t="s">
        <v>128</v>
      </c>
      <c r="D120" s="92" t="s">
        <v>244</v>
      </c>
      <c r="E120" s="91" t="s">
        <v>6</v>
      </c>
      <c r="F120" s="91" t="s">
        <v>6</v>
      </c>
      <c r="G120" s="91" t="s">
        <v>6</v>
      </c>
      <c r="H120" s="93">
        <f>SUM(H121:H122)</f>
        <v>0</v>
      </c>
      <c r="I120" s="93">
        <f>SUM(I121:I122)</f>
        <v>0</v>
      </c>
      <c r="J120" s="93">
        <f>H120+I120</f>
        <v>0</v>
      </c>
      <c r="K120" s="94"/>
      <c r="L120" s="93">
        <f>SUM(L121:L122)</f>
        <v>0</v>
      </c>
      <c r="M120" s="94"/>
      <c r="Y120" s="9" t="s">
        <v>66</v>
      </c>
      <c r="AI120" s="17">
        <f>SUM(Z121:Z122)</f>
        <v>0</v>
      </c>
      <c r="AJ120" s="17">
        <f>SUM(AA121:AA122)</f>
        <v>0</v>
      </c>
      <c r="AK120" s="17">
        <f>SUM(AB121:AB122)</f>
        <v>0</v>
      </c>
    </row>
    <row r="121" spans="1:48" ht="12.75">
      <c r="A121" s="95" t="s">
        <v>60</v>
      </c>
      <c r="B121" s="95" t="s">
        <v>66</v>
      </c>
      <c r="C121" s="95" t="s">
        <v>129</v>
      </c>
      <c r="D121" s="95" t="s">
        <v>245</v>
      </c>
      <c r="E121" s="95" t="s">
        <v>265</v>
      </c>
      <c r="F121" s="96">
        <v>1</v>
      </c>
      <c r="G121" s="96">
        <v>0</v>
      </c>
      <c r="H121" s="96">
        <f>F121*AE121</f>
        <v>0</v>
      </c>
      <c r="I121" s="96">
        <f>J121-H121</f>
        <v>0</v>
      </c>
      <c r="J121" s="96">
        <f>F121*G121</f>
        <v>0</v>
      </c>
      <c r="K121" s="96">
        <v>0</v>
      </c>
      <c r="L121" s="96">
        <f>F121*K121</f>
        <v>0</v>
      </c>
      <c r="M121" s="97" t="s">
        <v>285</v>
      </c>
      <c r="P121" s="15">
        <f>IF(AG121="5",J121,0)</f>
        <v>0</v>
      </c>
      <c r="R121" s="15">
        <f>IF(AG121="1",H121,0)</f>
        <v>0</v>
      </c>
      <c r="S121" s="15">
        <f>IF(AG121="1",I121,0)</f>
        <v>0</v>
      </c>
      <c r="T121" s="15">
        <f>IF(AG121="7",H121,0)</f>
        <v>0</v>
      </c>
      <c r="U121" s="15">
        <f>IF(AG121="7",I121,0)</f>
        <v>0</v>
      </c>
      <c r="V121" s="15">
        <f>IF(AG121="2",H121,0)</f>
        <v>0</v>
      </c>
      <c r="W121" s="15">
        <f>IF(AG121="2",I121,0)</f>
        <v>0</v>
      </c>
      <c r="X121" s="15">
        <f>IF(AG121="0",J121,0)</f>
        <v>0</v>
      </c>
      <c r="Y121" s="9" t="s">
        <v>66</v>
      </c>
      <c r="Z121" s="6">
        <f>IF(AD121=0,J121,0)</f>
        <v>0</v>
      </c>
      <c r="AA121" s="6">
        <f>IF(AD121=15,J121,0)</f>
        <v>0</v>
      </c>
      <c r="AB121" s="6">
        <f>IF(AD121=21,J121,0)</f>
        <v>0</v>
      </c>
      <c r="AD121" s="15">
        <v>21</v>
      </c>
      <c r="AE121" s="15">
        <f>G121*0</f>
        <v>0</v>
      </c>
      <c r="AF121" s="15">
        <f>G121*(1-0)</f>
        <v>0</v>
      </c>
      <c r="AG121" s="11" t="s">
        <v>8</v>
      </c>
      <c r="AM121" s="15">
        <f>F121*AE121</f>
        <v>0</v>
      </c>
      <c r="AN121" s="15">
        <f>F121*AF121</f>
        <v>0</v>
      </c>
      <c r="AO121" s="16" t="s">
        <v>306</v>
      </c>
      <c r="AP121" s="16" t="s">
        <v>313</v>
      </c>
      <c r="AQ121" s="9" t="s">
        <v>314</v>
      </c>
      <c r="AS121" s="15">
        <f>AM121+AN121</f>
        <v>0</v>
      </c>
      <c r="AT121" s="15">
        <f>G121/(100-AU121)*100</f>
        <v>0</v>
      </c>
      <c r="AU121" s="15">
        <v>0</v>
      </c>
      <c r="AV121" s="15">
        <f>L121</f>
        <v>0</v>
      </c>
    </row>
    <row r="122" spans="1:48" ht="12.75">
      <c r="A122" s="95" t="s">
        <v>61</v>
      </c>
      <c r="B122" s="95" t="s">
        <v>66</v>
      </c>
      <c r="C122" s="95" t="s">
        <v>130</v>
      </c>
      <c r="D122" s="95" t="s">
        <v>246</v>
      </c>
      <c r="E122" s="95" t="s">
        <v>265</v>
      </c>
      <c r="F122" s="96">
        <v>1</v>
      </c>
      <c r="G122" s="96">
        <v>0</v>
      </c>
      <c r="H122" s="96">
        <f>F122*AE122</f>
        <v>0</v>
      </c>
      <c r="I122" s="96">
        <f>J122-H122</f>
        <v>0</v>
      </c>
      <c r="J122" s="96">
        <f>F122*G122</f>
        <v>0</v>
      </c>
      <c r="K122" s="96">
        <v>0</v>
      </c>
      <c r="L122" s="96">
        <f>F122*K122</f>
        <v>0</v>
      </c>
      <c r="M122" s="97" t="s">
        <v>285</v>
      </c>
      <c r="P122" s="15">
        <f>IF(AG122="5",J122,0)</f>
        <v>0</v>
      </c>
      <c r="R122" s="15">
        <f>IF(AG122="1",H122,0)</f>
        <v>0</v>
      </c>
      <c r="S122" s="15">
        <f>IF(AG122="1",I122,0)</f>
        <v>0</v>
      </c>
      <c r="T122" s="15">
        <f>IF(AG122="7",H122,0)</f>
        <v>0</v>
      </c>
      <c r="U122" s="15">
        <f>IF(AG122="7",I122,0)</f>
        <v>0</v>
      </c>
      <c r="V122" s="15">
        <f>IF(AG122="2",H122,0)</f>
        <v>0</v>
      </c>
      <c r="W122" s="15">
        <f>IF(AG122="2",I122,0)</f>
        <v>0</v>
      </c>
      <c r="X122" s="15">
        <f>IF(AG122="0",J122,0)</f>
        <v>0</v>
      </c>
      <c r="Y122" s="9" t="s">
        <v>66</v>
      </c>
      <c r="Z122" s="6">
        <f>IF(AD122=0,J122,0)</f>
        <v>0</v>
      </c>
      <c r="AA122" s="6">
        <f>IF(AD122=15,J122,0)</f>
        <v>0</v>
      </c>
      <c r="AB122" s="6">
        <f>IF(AD122=21,J122,0)</f>
        <v>0</v>
      </c>
      <c r="AD122" s="15">
        <v>21</v>
      </c>
      <c r="AE122" s="15">
        <f>G122*0</f>
        <v>0</v>
      </c>
      <c r="AF122" s="15">
        <f>G122*(1-0)</f>
        <v>0</v>
      </c>
      <c r="AG122" s="11" t="s">
        <v>8</v>
      </c>
      <c r="AM122" s="15">
        <f>F122*AE122</f>
        <v>0</v>
      </c>
      <c r="AN122" s="15">
        <f>F122*AF122</f>
        <v>0</v>
      </c>
      <c r="AO122" s="16" t="s">
        <v>306</v>
      </c>
      <c r="AP122" s="16" t="s">
        <v>313</v>
      </c>
      <c r="AQ122" s="9" t="s">
        <v>314</v>
      </c>
      <c r="AS122" s="15">
        <f>AM122+AN122</f>
        <v>0</v>
      </c>
      <c r="AT122" s="15">
        <f>G122/(100-AU122)*100</f>
        <v>0</v>
      </c>
      <c r="AU122" s="15">
        <v>0</v>
      </c>
      <c r="AV122" s="15">
        <f>L122</f>
        <v>0</v>
      </c>
    </row>
    <row r="123" spans="1:13" ht="12.75">
      <c r="A123" s="98"/>
      <c r="B123" s="98"/>
      <c r="C123" s="98"/>
      <c r="D123" s="99" t="s">
        <v>247</v>
      </c>
      <c r="E123" s="98"/>
      <c r="F123" s="100">
        <v>1</v>
      </c>
      <c r="G123" s="98"/>
      <c r="H123" s="98"/>
      <c r="I123" s="98"/>
      <c r="J123" s="98"/>
      <c r="K123" s="98"/>
      <c r="L123" s="98"/>
      <c r="M123" s="98"/>
    </row>
    <row r="124" spans="1:37" ht="12.75">
      <c r="A124" s="91"/>
      <c r="B124" s="92" t="s">
        <v>66</v>
      </c>
      <c r="C124" s="92" t="s">
        <v>131</v>
      </c>
      <c r="D124" s="92" t="s">
        <v>248</v>
      </c>
      <c r="E124" s="91" t="s">
        <v>6</v>
      </c>
      <c r="F124" s="91" t="s">
        <v>6</v>
      </c>
      <c r="G124" s="91" t="s">
        <v>6</v>
      </c>
      <c r="H124" s="93">
        <f>SUM(H125:H126)</f>
        <v>0</v>
      </c>
      <c r="I124" s="93">
        <f>SUM(I125:I126)</f>
        <v>0</v>
      </c>
      <c r="J124" s="93">
        <f>H124+I124</f>
        <v>0</v>
      </c>
      <c r="K124" s="94"/>
      <c r="L124" s="93">
        <f>SUM(L125:L126)</f>
        <v>0</v>
      </c>
      <c r="M124" s="94"/>
      <c r="Y124" s="9" t="s">
        <v>66</v>
      </c>
      <c r="AI124" s="17">
        <f>SUM(Z125:Z126)</f>
        <v>0</v>
      </c>
      <c r="AJ124" s="17">
        <f>SUM(AA125:AA126)</f>
        <v>0</v>
      </c>
      <c r="AK124" s="17">
        <f>SUM(AB125:AB126)</f>
        <v>0</v>
      </c>
    </row>
    <row r="125" spans="1:48" ht="12.75">
      <c r="A125" s="95" t="s">
        <v>62</v>
      </c>
      <c r="B125" s="95" t="s">
        <v>66</v>
      </c>
      <c r="C125" s="95" t="s">
        <v>132</v>
      </c>
      <c r="D125" s="95" t="s">
        <v>249</v>
      </c>
      <c r="E125" s="95" t="s">
        <v>259</v>
      </c>
      <c r="F125" s="96">
        <v>0.59</v>
      </c>
      <c r="G125" s="96">
        <v>0</v>
      </c>
      <c r="H125" s="96">
        <f>F125*AE125</f>
        <v>0</v>
      </c>
      <c r="I125" s="96">
        <f>J125-H125</f>
        <v>0</v>
      </c>
      <c r="J125" s="96">
        <f>F125*G125</f>
        <v>0</v>
      </c>
      <c r="K125" s="96">
        <v>0</v>
      </c>
      <c r="L125" s="96">
        <f>F125*K125</f>
        <v>0</v>
      </c>
      <c r="M125" s="97" t="s">
        <v>284</v>
      </c>
      <c r="P125" s="15">
        <f>IF(AG125="5",J125,0)</f>
        <v>0</v>
      </c>
      <c r="R125" s="15">
        <f>IF(AG125="1",H125,0)</f>
        <v>0</v>
      </c>
      <c r="S125" s="15">
        <f>IF(AG125="1",I125,0)</f>
        <v>0</v>
      </c>
      <c r="T125" s="15">
        <f>IF(AG125="7",H125,0)</f>
        <v>0</v>
      </c>
      <c r="U125" s="15">
        <f>IF(AG125="7",I125,0)</f>
        <v>0</v>
      </c>
      <c r="V125" s="15">
        <f>IF(AG125="2",H125,0)</f>
        <v>0</v>
      </c>
      <c r="W125" s="15">
        <f>IF(AG125="2",I125,0)</f>
        <v>0</v>
      </c>
      <c r="X125" s="15">
        <f>IF(AG125="0",J125,0)</f>
        <v>0</v>
      </c>
      <c r="Y125" s="9" t="s">
        <v>66</v>
      </c>
      <c r="Z125" s="6">
        <f>IF(AD125=0,J125,0)</f>
        <v>0</v>
      </c>
      <c r="AA125" s="6">
        <f>IF(AD125=15,J125,0)</f>
        <v>0</v>
      </c>
      <c r="AB125" s="6">
        <f>IF(AD125=21,J125,0)</f>
        <v>0</v>
      </c>
      <c r="AD125" s="15">
        <v>21</v>
      </c>
      <c r="AE125" s="15">
        <f>G125*0</f>
        <v>0</v>
      </c>
      <c r="AF125" s="15">
        <f>G125*(1-0)</f>
        <v>0</v>
      </c>
      <c r="AG125" s="11" t="s">
        <v>11</v>
      </c>
      <c r="AM125" s="15">
        <f>F125*AE125</f>
        <v>0</v>
      </c>
      <c r="AN125" s="15">
        <f>F125*AF125</f>
        <v>0</v>
      </c>
      <c r="AO125" s="16" t="s">
        <v>307</v>
      </c>
      <c r="AP125" s="16" t="s">
        <v>313</v>
      </c>
      <c r="AQ125" s="9" t="s">
        <v>314</v>
      </c>
      <c r="AS125" s="15">
        <f>AM125+AN125</f>
        <v>0</v>
      </c>
      <c r="AT125" s="15">
        <f>G125/(100-AU125)*100</f>
        <v>0</v>
      </c>
      <c r="AU125" s="15">
        <v>0</v>
      </c>
      <c r="AV125" s="15">
        <f>L125</f>
        <v>0</v>
      </c>
    </row>
    <row r="126" spans="1:48" ht="12.75">
      <c r="A126" s="95" t="s">
        <v>63</v>
      </c>
      <c r="B126" s="95" t="s">
        <v>66</v>
      </c>
      <c r="C126" s="95" t="s">
        <v>133</v>
      </c>
      <c r="D126" s="95" t="s">
        <v>250</v>
      </c>
      <c r="E126" s="95" t="s">
        <v>259</v>
      </c>
      <c r="F126" s="96">
        <v>8.26</v>
      </c>
      <c r="G126" s="96">
        <v>0</v>
      </c>
      <c r="H126" s="96">
        <f>F126*AE126</f>
        <v>0</v>
      </c>
      <c r="I126" s="96">
        <f>J126-H126</f>
        <v>0</v>
      </c>
      <c r="J126" s="96">
        <f>F126*G126</f>
        <v>0</v>
      </c>
      <c r="K126" s="96">
        <v>0</v>
      </c>
      <c r="L126" s="96">
        <f>F126*K126</f>
        <v>0</v>
      </c>
      <c r="M126" s="97" t="s">
        <v>284</v>
      </c>
      <c r="P126" s="15">
        <f>IF(AG126="5",J126,0)</f>
        <v>0</v>
      </c>
      <c r="R126" s="15">
        <f>IF(AG126="1",H126,0)</f>
        <v>0</v>
      </c>
      <c r="S126" s="15">
        <f>IF(AG126="1",I126,0)</f>
        <v>0</v>
      </c>
      <c r="T126" s="15">
        <f>IF(AG126="7",H126,0)</f>
        <v>0</v>
      </c>
      <c r="U126" s="15">
        <f>IF(AG126="7",I126,0)</f>
        <v>0</v>
      </c>
      <c r="V126" s="15">
        <f>IF(AG126="2",H126,0)</f>
        <v>0</v>
      </c>
      <c r="W126" s="15">
        <f>IF(AG126="2",I126,0)</f>
        <v>0</v>
      </c>
      <c r="X126" s="15">
        <f>IF(AG126="0",J126,0)</f>
        <v>0</v>
      </c>
      <c r="Y126" s="9" t="s">
        <v>66</v>
      </c>
      <c r="Z126" s="6">
        <f>IF(AD126=0,J126,0)</f>
        <v>0</v>
      </c>
      <c r="AA126" s="6">
        <f>IF(AD126=15,J126,0)</f>
        <v>0</v>
      </c>
      <c r="AB126" s="6">
        <f>IF(AD126=21,J126,0)</f>
        <v>0</v>
      </c>
      <c r="AD126" s="15">
        <v>21</v>
      </c>
      <c r="AE126" s="15">
        <f>G126*0</f>
        <v>0</v>
      </c>
      <c r="AF126" s="15">
        <f>G126*(1-0)</f>
        <v>0</v>
      </c>
      <c r="AG126" s="11" t="s">
        <v>11</v>
      </c>
      <c r="AM126" s="15">
        <f>F126*AE126</f>
        <v>0</v>
      </c>
      <c r="AN126" s="15">
        <f>F126*AF126</f>
        <v>0</v>
      </c>
      <c r="AO126" s="16" t="s">
        <v>307</v>
      </c>
      <c r="AP126" s="16" t="s">
        <v>313</v>
      </c>
      <c r="AQ126" s="9" t="s">
        <v>314</v>
      </c>
      <c r="AS126" s="15">
        <f>AM126+AN126</f>
        <v>0</v>
      </c>
      <c r="AT126" s="15">
        <f>G126/(100-AU126)*100</f>
        <v>0</v>
      </c>
      <c r="AU126" s="15">
        <v>0</v>
      </c>
      <c r="AV126" s="15">
        <f>L126</f>
        <v>0</v>
      </c>
    </row>
    <row r="127" spans="1:13" ht="12.75">
      <c r="A127" s="104"/>
      <c r="B127" s="104"/>
      <c r="C127" s="104"/>
      <c r="D127" s="99" t="s">
        <v>251</v>
      </c>
      <c r="E127" s="104"/>
      <c r="F127" s="100">
        <v>8.26</v>
      </c>
      <c r="G127" s="104"/>
      <c r="H127" s="104"/>
      <c r="I127" s="104"/>
      <c r="J127" s="104"/>
      <c r="K127" s="104"/>
      <c r="L127" s="104"/>
      <c r="M127" s="104"/>
    </row>
    <row r="128" spans="1:13" ht="12.75">
      <c r="A128" s="104"/>
      <c r="B128" s="104"/>
      <c r="C128" s="104"/>
      <c r="D128" s="104"/>
      <c r="E128" s="104"/>
      <c r="F128" s="104"/>
      <c r="G128" s="104"/>
      <c r="H128" s="105" t="s">
        <v>272</v>
      </c>
      <c r="I128" s="106"/>
      <c r="J128" s="107">
        <f>ROUND(J13+J17+J20+J31+J62+J72+J87+J89+J108+J118+J120+J124,0)</f>
        <v>0</v>
      </c>
      <c r="K128" s="104"/>
      <c r="L128" s="104"/>
      <c r="M128" s="104"/>
    </row>
    <row r="129" spans="1:13" ht="11.25" customHeight="1">
      <c r="A129" s="108" t="s">
        <v>64</v>
      </c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</row>
    <row r="130" spans="1:13" ht="12.75">
      <c r="A130" s="48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</row>
  </sheetData>
  <sheetProtection/>
  <mergeCells count="29">
    <mergeCell ref="H10:J10"/>
    <mergeCell ref="K10:L10"/>
    <mergeCell ref="H128:I128"/>
    <mergeCell ref="A130:M130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:G1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35" t="s">
        <v>315</v>
      </c>
      <c r="B1" s="36"/>
      <c r="C1" s="36"/>
      <c r="D1" s="36"/>
      <c r="E1" s="36"/>
      <c r="F1" s="36"/>
      <c r="G1" s="36"/>
    </row>
    <row r="2" spans="1:8" ht="12.75">
      <c r="A2" s="37" t="s">
        <v>1</v>
      </c>
      <c r="B2" s="41" t="str">
        <f>'Stavební rozpočet'!D2</f>
        <v>Objekt zázemí,pergoly a přemíst. podia v areálu HZ Michálkovice</v>
      </c>
      <c r="C2" s="56"/>
      <c r="D2" s="44" t="s">
        <v>273</v>
      </c>
      <c r="E2" s="44" t="str">
        <f>'Stavební rozpočet'!J2</f>
        <v>MO Michálkovice, ČA 325/106, Ostrava</v>
      </c>
      <c r="F2" s="38"/>
      <c r="G2" s="45"/>
      <c r="H2" s="13"/>
    </row>
    <row r="3" spans="1:8" ht="12.75">
      <c r="A3" s="39"/>
      <c r="B3" s="42"/>
      <c r="C3" s="42"/>
      <c r="D3" s="40"/>
      <c r="E3" s="40"/>
      <c r="F3" s="40"/>
      <c r="G3" s="46"/>
      <c r="H3" s="13"/>
    </row>
    <row r="4" spans="1:8" ht="12.75">
      <c r="A4" s="47" t="s">
        <v>2</v>
      </c>
      <c r="B4" s="48" t="str">
        <f>'Stavební rozpočet'!D4</f>
        <v>Novostavba - SO 03 Přemístění podia</v>
      </c>
      <c r="C4" s="40"/>
      <c r="D4" s="48" t="s">
        <v>274</v>
      </c>
      <c r="E4" s="48" t="str">
        <f>'Stavební rozpočet'!J4</f>
        <v> </v>
      </c>
      <c r="F4" s="40"/>
      <c r="G4" s="46"/>
      <c r="H4" s="13"/>
    </row>
    <row r="5" spans="1:8" ht="12.75">
      <c r="A5" s="39"/>
      <c r="B5" s="40"/>
      <c r="C5" s="40"/>
      <c r="D5" s="40"/>
      <c r="E5" s="40"/>
      <c r="F5" s="40"/>
      <c r="G5" s="46"/>
      <c r="H5" s="13"/>
    </row>
    <row r="6" spans="1:8" ht="12.75">
      <c r="A6" s="47" t="s">
        <v>3</v>
      </c>
      <c r="B6" s="48" t="str">
        <f>'Stavební rozpočet'!D6</f>
        <v>Ostrava-Michálkovice</v>
      </c>
      <c r="C6" s="40"/>
      <c r="D6" s="48" t="s">
        <v>275</v>
      </c>
      <c r="E6" s="48" t="str">
        <f>'Stavební rozpočet'!J6</f>
        <v> </v>
      </c>
      <c r="F6" s="40"/>
      <c r="G6" s="46"/>
      <c r="H6" s="13"/>
    </row>
    <row r="7" spans="1:8" ht="12.75">
      <c r="A7" s="39"/>
      <c r="B7" s="40"/>
      <c r="C7" s="40"/>
      <c r="D7" s="40"/>
      <c r="E7" s="40"/>
      <c r="F7" s="40"/>
      <c r="G7" s="46"/>
      <c r="H7" s="13"/>
    </row>
    <row r="8" spans="1:8" ht="12.75">
      <c r="A8" s="47" t="s">
        <v>276</v>
      </c>
      <c r="B8" s="48" t="str">
        <f>'Stavební rozpočet'!J8</f>
        <v>R.Šípek</v>
      </c>
      <c r="C8" s="40"/>
      <c r="D8" s="49" t="s">
        <v>255</v>
      </c>
      <c r="E8" s="48" t="str">
        <f>'Stavební rozpočet'!G8</f>
        <v>01.06.2018</v>
      </c>
      <c r="F8" s="40"/>
      <c r="G8" s="46"/>
      <c r="H8" s="13"/>
    </row>
    <row r="9" spans="1:8" ht="13.5" thickBot="1">
      <c r="A9" s="50"/>
      <c r="B9" s="51"/>
      <c r="C9" s="51"/>
      <c r="D9" s="51"/>
      <c r="E9" s="51"/>
      <c r="F9" s="51"/>
      <c r="G9" s="52"/>
      <c r="H9" s="13"/>
    </row>
    <row r="10" spans="1:8" ht="12.75">
      <c r="A10" s="113" t="s">
        <v>65</v>
      </c>
      <c r="B10" s="1" t="s">
        <v>67</v>
      </c>
      <c r="C10" s="4" t="s">
        <v>137</v>
      </c>
      <c r="D10" s="5" t="s">
        <v>316</v>
      </c>
      <c r="E10" s="5" t="s">
        <v>317</v>
      </c>
      <c r="F10" s="5" t="s">
        <v>318</v>
      </c>
      <c r="G10" s="8" t="s">
        <v>319</v>
      </c>
      <c r="H10" s="14"/>
    </row>
    <row r="11" spans="1:9" ht="12.75">
      <c r="A11" s="117" t="s">
        <v>66</v>
      </c>
      <c r="B11" s="117"/>
      <c r="C11" s="117" t="s">
        <v>139</v>
      </c>
      <c r="D11" s="118">
        <f>'Stavební rozpočet'!H12</f>
        <v>0</v>
      </c>
      <c r="E11" s="118">
        <f>'Stavební rozpočet'!I12</f>
        <v>0</v>
      </c>
      <c r="F11" s="118">
        <f aca="true" t="shared" si="0" ref="F11:F23">D11+E11</f>
        <v>0</v>
      </c>
      <c r="G11" s="118">
        <f>'Stavební rozpočet'!L12</f>
        <v>13.8800379</v>
      </c>
      <c r="H11" s="15" t="s">
        <v>320</v>
      </c>
      <c r="I11" s="15">
        <f aca="true" t="shared" si="1" ref="I11:I23">IF(H11="F",0,F11)</f>
        <v>0</v>
      </c>
    </row>
    <row r="12" spans="1:9" ht="12.75">
      <c r="A12" s="114" t="s">
        <v>66</v>
      </c>
      <c r="B12" s="114" t="s">
        <v>19</v>
      </c>
      <c r="C12" s="114" t="s">
        <v>140</v>
      </c>
      <c r="D12" s="115">
        <f>'Stavební rozpočet'!H13</f>
        <v>0</v>
      </c>
      <c r="E12" s="115">
        <f>'Stavební rozpočet'!I13</f>
        <v>0</v>
      </c>
      <c r="F12" s="115">
        <f t="shared" si="0"/>
        <v>0</v>
      </c>
      <c r="G12" s="115">
        <f>'Stavební rozpočet'!L13</f>
        <v>0</v>
      </c>
      <c r="H12" s="15" t="s">
        <v>321</v>
      </c>
      <c r="I12" s="15">
        <f t="shared" si="1"/>
        <v>0</v>
      </c>
    </row>
    <row r="13" spans="1:9" ht="12.75">
      <c r="A13" s="114" t="s">
        <v>66</v>
      </c>
      <c r="B13" s="114" t="s">
        <v>24</v>
      </c>
      <c r="C13" s="114" t="s">
        <v>144</v>
      </c>
      <c r="D13" s="115">
        <f>'Stavební rozpočet'!H17</f>
        <v>0</v>
      </c>
      <c r="E13" s="115">
        <f>'Stavební rozpočet'!I17</f>
        <v>0</v>
      </c>
      <c r="F13" s="115">
        <f t="shared" si="0"/>
        <v>0</v>
      </c>
      <c r="G13" s="115">
        <f>'Stavební rozpočet'!L17</f>
        <v>0</v>
      </c>
      <c r="H13" s="15" t="s">
        <v>321</v>
      </c>
      <c r="I13" s="15">
        <f t="shared" si="1"/>
        <v>0</v>
      </c>
    </row>
    <row r="14" spans="1:9" ht="12.75">
      <c r="A14" s="114" t="s">
        <v>66</v>
      </c>
      <c r="B14" s="114" t="s">
        <v>33</v>
      </c>
      <c r="C14" s="114" t="s">
        <v>147</v>
      </c>
      <c r="D14" s="115">
        <f>'Stavební rozpočet'!H20</f>
        <v>0</v>
      </c>
      <c r="E14" s="115">
        <f>'Stavební rozpočet'!I20</f>
        <v>0</v>
      </c>
      <c r="F14" s="115">
        <f t="shared" si="0"/>
        <v>0</v>
      </c>
      <c r="G14" s="115">
        <f>'Stavební rozpočet'!L20</f>
        <v>5.762546400000001</v>
      </c>
      <c r="H14" s="15" t="s">
        <v>321</v>
      </c>
      <c r="I14" s="15">
        <f t="shared" si="1"/>
        <v>0</v>
      </c>
    </row>
    <row r="15" spans="1:9" ht="12.75">
      <c r="A15" s="114" t="s">
        <v>66</v>
      </c>
      <c r="B15" s="114" t="s">
        <v>77</v>
      </c>
      <c r="C15" s="114" t="s">
        <v>158</v>
      </c>
      <c r="D15" s="115">
        <f>'Stavební rozpočet'!H31</f>
        <v>0</v>
      </c>
      <c r="E15" s="115">
        <f>'Stavební rozpočet'!I31</f>
        <v>0</v>
      </c>
      <c r="F15" s="115">
        <f t="shared" si="0"/>
        <v>0</v>
      </c>
      <c r="G15" s="115">
        <f>'Stavební rozpočet'!L31</f>
        <v>3.0812929999999996</v>
      </c>
      <c r="H15" s="15" t="s">
        <v>321</v>
      </c>
      <c r="I15" s="15">
        <f t="shared" si="1"/>
        <v>0</v>
      </c>
    </row>
    <row r="16" spans="1:9" ht="12.75">
      <c r="A16" s="114" t="s">
        <v>66</v>
      </c>
      <c r="B16" s="114" t="s">
        <v>90</v>
      </c>
      <c r="C16" s="114" t="s">
        <v>188</v>
      </c>
      <c r="D16" s="115">
        <f>'Stavební rozpočet'!H62</f>
        <v>0</v>
      </c>
      <c r="E16" s="115">
        <f>'Stavební rozpočet'!I62</f>
        <v>0</v>
      </c>
      <c r="F16" s="115">
        <f t="shared" si="0"/>
        <v>0</v>
      </c>
      <c r="G16" s="115">
        <f>'Stavební rozpočet'!L62</f>
        <v>0.660831</v>
      </c>
      <c r="H16" s="15" t="s">
        <v>321</v>
      </c>
      <c r="I16" s="15">
        <f t="shared" si="1"/>
        <v>0</v>
      </c>
    </row>
    <row r="17" spans="1:9" ht="12.75">
      <c r="A17" s="114" t="s">
        <v>66</v>
      </c>
      <c r="B17" s="114" t="s">
        <v>97</v>
      </c>
      <c r="C17" s="114" t="s">
        <v>197</v>
      </c>
      <c r="D17" s="115">
        <f>'Stavební rozpočet'!H72</f>
        <v>0</v>
      </c>
      <c r="E17" s="115">
        <f>'Stavební rozpočet'!I72</f>
        <v>0</v>
      </c>
      <c r="F17" s="115">
        <f t="shared" si="0"/>
        <v>0</v>
      </c>
      <c r="G17" s="115">
        <f>'Stavební rozpočet'!L72</f>
        <v>0.9974540000000002</v>
      </c>
      <c r="H17" s="15" t="s">
        <v>321</v>
      </c>
      <c r="I17" s="15">
        <f t="shared" si="1"/>
        <v>0</v>
      </c>
    </row>
    <row r="18" spans="1:9" ht="12.75">
      <c r="A18" s="114" t="s">
        <v>66</v>
      </c>
      <c r="B18" s="114" t="s">
        <v>106</v>
      </c>
      <c r="C18" s="114" t="s">
        <v>211</v>
      </c>
      <c r="D18" s="115">
        <f>'Stavební rozpočet'!H87</f>
        <v>0</v>
      </c>
      <c r="E18" s="115">
        <f>'Stavební rozpočet'!I87</f>
        <v>0</v>
      </c>
      <c r="F18" s="115">
        <f t="shared" si="0"/>
        <v>0</v>
      </c>
      <c r="G18" s="115">
        <f>'Stavební rozpočet'!L87</f>
        <v>0</v>
      </c>
      <c r="H18" s="15" t="s">
        <v>321</v>
      </c>
      <c r="I18" s="15">
        <f t="shared" si="1"/>
        <v>0</v>
      </c>
    </row>
    <row r="19" spans="1:9" ht="12.75">
      <c r="A19" s="114" t="s">
        <v>66</v>
      </c>
      <c r="B19" s="114" t="s">
        <v>108</v>
      </c>
      <c r="C19" s="114" t="s">
        <v>213</v>
      </c>
      <c r="D19" s="115">
        <f>'Stavební rozpočet'!H89</f>
        <v>0</v>
      </c>
      <c r="E19" s="115">
        <f>'Stavební rozpočet'!I89</f>
        <v>0</v>
      </c>
      <c r="F19" s="115">
        <f t="shared" si="0"/>
        <v>0</v>
      </c>
      <c r="G19" s="115">
        <f>'Stavební rozpočet'!L89</f>
        <v>0.10195399999999999</v>
      </c>
      <c r="H19" s="15" t="s">
        <v>321</v>
      </c>
      <c r="I19" s="15">
        <f t="shared" si="1"/>
        <v>0</v>
      </c>
    </row>
    <row r="20" spans="1:9" ht="12.75">
      <c r="A20" s="114" t="s">
        <v>66</v>
      </c>
      <c r="B20" s="114" t="s">
        <v>118</v>
      </c>
      <c r="C20" s="114" t="s">
        <v>232</v>
      </c>
      <c r="D20" s="115">
        <f>'Stavební rozpočet'!H108</f>
        <v>0</v>
      </c>
      <c r="E20" s="115">
        <f>'Stavební rozpočet'!I108</f>
        <v>0</v>
      </c>
      <c r="F20" s="115">
        <f t="shared" si="0"/>
        <v>0</v>
      </c>
      <c r="G20" s="115">
        <f>'Stavební rozpočet'!L108</f>
        <v>3.2759595000000004</v>
      </c>
      <c r="H20" s="15" t="s">
        <v>321</v>
      </c>
      <c r="I20" s="15">
        <f t="shared" si="1"/>
        <v>0</v>
      </c>
    </row>
    <row r="21" spans="1:9" ht="12.75">
      <c r="A21" s="114" t="s">
        <v>66</v>
      </c>
      <c r="B21" s="114" t="s">
        <v>126</v>
      </c>
      <c r="C21" s="114" t="s">
        <v>242</v>
      </c>
      <c r="D21" s="115">
        <f>'Stavební rozpočet'!H118</f>
        <v>0</v>
      </c>
      <c r="E21" s="115">
        <f>'Stavební rozpočet'!I118</f>
        <v>0</v>
      </c>
      <c r="F21" s="115">
        <f t="shared" si="0"/>
        <v>0</v>
      </c>
      <c r="G21" s="115">
        <f>'Stavební rozpočet'!L118</f>
        <v>0</v>
      </c>
      <c r="H21" s="15" t="s">
        <v>321</v>
      </c>
      <c r="I21" s="15">
        <f t="shared" si="1"/>
        <v>0</v>
      </c>
    </row>
    <row r="22" spans="1:9" ht="12.75">
      <c r="A22" s="114" t="s">
        <v>66</v>
      </c>
      <c r="B22" s="114" t="s">
        <v>128</v>
      </c>
      <c r="C22" s="114" t="s">
        <v>244</v>
      </c>
      <c r="D22" s="115">
        <f>'Stavební rozpočet'!H120</f>
        <v>0</v>
      </c>
      <c r="E22" s="115">
        <f>'Stavební rozpočet'!I120</f>
        <v>0</v>
      </c>
      <c r="F22" s="115">
        <f t="shared" si="0"/>
        <v>0</v>
      </c>
      <c r="G22" s="115">
        <f>'Stavební rozpočet'!L120</f>
        <v>0</v>
      </c>
      <c r="H22" s="15" t="s">
        <v>321</v>
      </c>
      <c r="I22" s="15">
        <f t="shared" si="1"/>
        <v>0</v>
      </c>
    </row>
    <row r="23" spans="1:9" ht="12.75">
      <c r="A23" s="114" t="s">
        <v>66</v>
      </c>
      <c r="B23" s="114" t="s">
        <v>131</v>
      </c>
      <c r="C23" s="114" t="s">
        <v>248</v>
      </c>
      <c r="D23" s="115">
        <f>'Stavební rozpočet'!H124</f>
        <v>0</v>
      </c>
      <c r="E23" s="115">
        <f>'Stavební rozpočet'!I124</f>
        <v>0</v>
      </c>
      <c r="F23" s="115">
        <f t="shared" si="0"/>
        <v>0</v>
      </c>
      <c r="G23" s="115">
        <f>'Stavební rozpočet'!L124</f>
        <v>0</v>
      </c>
      <c r="H23" s="15" t="s">
        <v>321</v>
      </c>
      <c r="I23" s="15">
        <f t="shared" si="1"/>
        <v>0</v>
      </c>
    </row>
    <row r="24" spans="1:7" ht="12.75">
      <c r="A24" s="98"/>
      <c r="B24" s="98"/>
      <c r="C24" s="98"/>
      <c r="D24" s="98"/>
      <c r="E24" s="98"/>
      <c r="F24" s="98"/>
      <c r="G24" s="98"/>
    </row>
    <row r="25" spans="1:7" ht="12.75">
      <c r="A25" s="98"/>
      <c r="B25" s="98"/>
      <c r="C25" s="98"/>
      <c r="D25" s="98"/>
      <c r="E25" s="116" t="s">
        <v>272</v>
      </c>
      <c r="F25" s="107">
        <f>ROUND(SUM(I11:I23),0)</f>
        <v>0</v>
      </c>
      <c r="G25" s="98"/>
    </row>
    <row r="26" spans="1:7" ht="12.75">
      <c r="A26" s="98"/>
      <c r="B26" s="98"/>
      <c r="C26" s="98"/>
      <c r="D26" s="98"/>
      <c r="E26" s="98"/>
      <c r="F26" s="98"/>
      <c r="G26" s="98"/>
    </row>
  </sheetData>
  <sheetProtection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34"/>
      <c r="B1" s="2"/>
      <c r="C1" s="57" t="s">
        <v>337</v>
      </c>
      <c r="D1" s="36"/>
      <c r="E1" s="36"/>
      <c r="F1" s="36"/>
      <c r="G1" s="36"/>
      <c r="H1" s="36"/>
      <c r="I1" s="36"/>
    </row>
    <row r="2" spans="1:10" ht="12.75">
      <c r="A2" s="37" t="s">
        <v>1</v>
      </c>
      <c r="B2" s="38"/>
      <c r="C2" s="41" t="str">
        <f>'Stavební rozpočet'!D2</f>
        <v>Objekt zázemí,pergoly a přemíst. podia v areálu HZ Michálkovice</v>
      </c>
      <c r="D2" s="56"/>
      <c r="E2" s="44" t="s">
        <v>273</v>
      </c>
      <c r="F2" s="44" t="str">
        <f>'Stavební rozpočet'!J2</f>
        <v>MO Michálkovice, ČA 325/106, Ostrava</v>
      </c>
      <c r="G2" s="38"/>
      <c r="H2" s="44" t="s">
        <v>362</v>
      </c>
      <c r="I2" s="58"/>
      <c r="J2" s="13"/>
    </row>
    <row r="3" spans="1:10" ht="12.75">
      <c r="A3" s="39"/>
      <c r="B3" s="40"/>
      <c r="C3" s="42"/>
      <c r="D3" s="42"/>
      <c r="E3" s="40"/>
      <c r="F3" s="40"/>
      <c r="G3" s="40"/>
      <c r="H3" s="40"/>
      <c r="I3" s="46"/>
      <c r="J3" s="13"/>
    </row>
    <row r="4" spans="1:10" ht="12.75">
      <c r="A4" s="47" t="s">
        <v>2</v>
      </c>
      <c r="B4" s="40"/>
      <c r="C4" s="48" t="str">
        <f>'Stavební rozpočet'!D4</f>
        <v>Novostavba - SO 03 Přemístění podia</v>
      </c>
      <c r="D4" s="40"/>
      <c r="E4" s="48" t="s">
        <v>274</v>
      </c>
      <c r="F4" s="48" t="str">
        <f>'Stavební rozpočet'!J4</f>
        <v> </v>
      </c>
      <c r="G4" s="40"/>
      <c r="H4" s="48" t="s">
        <v>362</v>
      </c>
      <c r="I4" s="59"/>
      <c r="J4" s="13"/>
    </row>
    <row r="5" spans="1:10" ht="12.75">
      <c r="A5" s="39"/>
      <c r="B5" s="40"/>
      <c r="C5" s="40"/>
      <c r="D5" s="40"/>
      <c r="E5" s="40"/>
      <c r="F5" s="40"/>
      <c r="G5" s="40"/>
      <c r="H5" s="40"/>
      <c r="I5" s="46"/>
      <c r="J5" s="13"/>
    </row>
    <row r="6" spans="1:10" ht="12.75">
      <c r="A6" s="47" t="s">
        <v>3</v>
      </c>
      <c r="B6" s="40"/>
      <c r="C6" s="48" t="str">
        <f>'Stavební rozpočet'!D6</f>
        <v>Ostrava-Michálkovice</v>
      </c>
      <c r="D6" s="40"/>
      <c r="E6" s="48" t="s">
        <v>275</v>
      </c>
      <c r="F6" s="48" t="str">
        <f>'Stavební rozpočet'!J6</f>
        <v> </v>
      </c>
      <c r="G6" s="40"/>
      <c r="H6" s="48" t="s">
        <v>362</v>
      </c>
      <c r="I6" s="59"/>
      <c r="J6" s="13"/>
    </row>
    <row r="7" spans="1:10" ht="12.75">
      <c r="A7" s="39"/>
      <c r="B7" s="40"/>
      <c r="C7" s="40"/>
      <c r="D7" s="40"/>
      <c r="E7" s="40"/>
      <c r="F7" s="40"/>
      <c r="G7" s="40"/>
      <c r="H7" s="40"/>
      <c r="I7" s="46"/>
      <c r="J7" s="13"/>
    </row>
    <row r="8" spans="1:10" ht="12.75">
      <c r="A8" s="47" t="s">
        <v>253</v>
      </c>
      <c r="B8" s="40"/>
      <c r="C8" s="48" t="str">
        <f>'Stavební rozpočet'!G4</f>
        <v> </v>
      </c>
      <c r="D8" s="40"/>
      <c r="E8" s="48" t="s">
        <v>254</v>
      </c>
      <c r="F8" s="48" t="str">
        <f>'Stavební rozpočet'!G6</f>
        <v> </v>
      </c>
      <c r="G8" s="40"/>
      <c r="H8" s="49" t="s">
        <v>363</v>
      </c>
      <c r="I8" s="59" t="s">
        <v>63</v>
      </c>
      <c r="J8" s="13"/>
    </row>
    <row r="9" spans="1:10" ht="12.75">
      <c r="A9" s="39"/>
      <c r="B9" s="40"/>
      <c r="C9" s="40"/>
      <c r="D9" s="40"/>
      <c r="E9" s="40"/>
      <c r="F9" s="40"/>
      <c r="G9" s="40"/>
      <c r="H9" s="40"/>
      <c r="I9" s="46"/>
      <c r="J9" s="13"/>
    </row>
    <row r="10" spans="1:10" ht="12.75">
      <c r="A10" s="47" t="s">
        <v>4</v>
      </c>
      <c r="B10" s="40"/>
      <c r="C10" s="48" t="str">
        <f>'Stavební rozpočet'!D8</f>
        <v> </v>
      </c>
      <c r="D10" s="40"/>
      <c r="E10" s="48" t="s">
        <v>276</v>
      </c>
      <c r="F10" s="48" t="str">
        <f>'Stavební rozpočet'!J8</f>
        <v>R.Šípek</v>
      </c>
      <c r="G10" s="40"/>
      <c r="H10" s="49" t="s">
        <v>364</v>
      </c>
      <c r="I10" s="62" t="str">
        <f>'Stavební rozpočet'!G8</f>
        <v>01.06.2018</v>
      </c>
      <c r="J10" s="13"/>
    </row>
    <row r="11" spans="1:10" ht="12.75">
      <c r="A11" s="60"/>
      <c r="B11" s="61"/>
      <c r="C11" s="61"/>
      <c r="D11" s="61"/>
      <c r="E11" s="61"/>
      <c r="F11" s="61"/>
      <c r="G11" s="61"/>
      <c r="H11" s="61"/>
      <c r="I11" s="63"/>
      <c r="J11" s="13"/>
    </row>
    <row r="12" spans="1:9" ht="23.25" customHeight="1">
      <c r="A12" s="64" t="s">
        <v>322</v>
      </c>
      <c r="B12" s="65"/>
      <c r="C12" s="65"/>
      <c r="D12" s="65"/>
      <c r="E12" s="65"/>
      <c r="F12" s="65"/>
      <c r="G12" s="65"/>
      <c r="H12" s="65"/>
      <c r="I12" s="65"/>
    </row>
    <row r="13" spans="1:10" ht="26.25" customHeight="1">
      <c r="A13" s="18" t="s">
        <v>323</v>
      </c>
      <c r="B13" s="66" t="s">
        <v>335</v>
      </c>
      <c r="C13" s="67"/>
      <c r="D13" s="18" t="s">
        <v>338</v>
      </c>
      <c r="E13" s="66" t="s">
        <v>347</v>
      </c>
      <c r="F13" s="67"/>
      <c r="G13" s="18" t="s">
        <v>348</v>
      </c>
      <c r="H13" s="66" t="s">
        <v>365</v>
      </c>
      <c r="I13" s="67"/>
      <c r="J13" s="13"/>
    </row>
    <row r="14" spans="1:10" ht="15" customHeight="1">
      <c r="A14" s="19" t="s">
        <v>324</v>
      </c>
      <c r="B14" s="23" t="s">
        <v>336</v>
      </c>
      <c r="C14" s="27">
        <f>SUM('Stavební rozpočet'!R12:R127)</f>
        <v>0</v>
      </c>
      <c r="D14" s="68" t="s">
        <v>339</v>
      </c>
      <c r="E14" s="69"/>
      <c r="F14" s="27">
        <v>0</v>
      </c>
      <c r="G14" s="68" t="s">
        <v>349</v>
      </c>
      <c r="H14" s="69"/>
      <c r="I14" s="27">
        <v>0</v>
      </c>
      <c r="J14" s="13"/>
    </row>
    <row r="15" spans="1:10" ht="15" customHeight="1">
      <c r="A15" s="20"/>
      <c r="B15" s="23" t="s">
        <v>277</v>
      </c>
      <c r="C15" s="27">
        <f>SUM('Stavební rozpočet'!S12:S127)</f>
        <v>0</v>
      </c>
      <c r="D15" s="68" t="s">
        <v>340</v>
      </c>
      <c r="E15" s="69"/>
      <c r="F15" s="27">
        <v>0</v>
      </c>
      <c r="G15" s="68" t="s">
        <v>350</v>
      </c>
      <c r="H15" s="69"/>
      <c r="I15" s="27">
        <v>0</v>
      </c>
      <c r="J15" s="13"/>
    </row>
    <row r="16" spans="1:10" ht="15" customHeight="1">
      <c r="A16" s="19" t="s">
        <v>325</v>
      </c>
      <c r="B16" s="23" t="s">
        <v>336</v>
      </c>
      <c r="C16" s="27">
        <f>SUM('Stavební rozpočet'!T12:T127)</f>
        <v>0</v>
      </c>
      <c r="D16" s="68" t="s">
        <v>341</v>
      </c>
      <c r="E16" s="69"/>
      <c r="F16" s="27">
        <v>0</v>
      </c>
      <c r="G16" s="68" t="s">
        <v>351</v>
      </c>
      <c r="H16" s="69"/>
      <c r="I16" s="27">
        <v>0</v>
      </c>
      <c r="J16" s="13"/>
    </row>
    <row r="17" spans="1:10" ht="15" customHeight="1">
      <c r="A17" s="20"/>
      <c r="B17" s="23" t="s">
        <v>277</v>
      </c>
      <c r="C17" s="27">
        <f>SUM('Stavební rozpočet'!U12:U127)</f>
        <v>0</v>
      </c>
      <c r="D17" s="68"/>
      <c r="E17" s="69"/>
      <c r="F17" s="28"/>
      <c r="G17" s="68" t="s">
        <v>352</v>
      </c>
      <c r="H17" s="69"/>
      <c r="I17" s="27">
        <v>0</v>
      </c>
      <c r="J17" s="13"/>
    </row>
    <row r="18" spans="1:10" ht="15" customHeight="1">
      <c r="A18" s="19" t="s">
        <v>326</v>
      </c>
      <c r="B18" s="23" t="s">
        <v>336</v>
      </c>
      <c r="C18" s="27">
        <f>SUM('Stavební rozpočet'!V12:V127)</f>
        <v>0</v>
      </c>
      <c r="D18" s="68"/>
      <c r="E18" s="69"/>
      <c r="F18" s="28"/>
      <c r="G18" s="68" t="s">
        <v>353</v>
      </c>
      <c r="H18" s="69"/>
      <c r="I18" s="27">
        <v>0</v>
      </c>
      <c r="J18" s="13"/>
    </row>
    <row r="19" spans="1:10" ht="15" customHeight="1">
      <c r="A19" s="20"/>
      <c r="B19" s="23" t="s">
        <v>277</v>
      </c>
      <c r="C19" s="27">
        <f>SUM('Stavební rozpočet'!W12:W127)</f>
        <v>0</v>
      </c>
      <c r="D19" s="68"/>
      <c r="E19" s="69"/>
      <c r="F19" s="28"/>
      <c r="G19" s="68" t="s">
        <v>354</v>
      </c>
      <c r="H19" s="69"/>
      <c r="I19" s="27">
        <v>0</v>
      </c>
      <c r="J19" s="13"/>
    </row>
    <row r="20" spans="1:10" ht="15" customHeight="1">
      <c r="A20" s="70" t="s">
        <v>327</v>
      </c>
      <c r="B20" s="71"/>
      <c r="C20" s="27">
        <f>SUM('Stavební rozpočet'!X12:X127)</f>
        <v>0</v>
      </c>
      <c r="D20" s="68"/>
      <c r="E20" s="69"/>
      <c r="F20" s="28"/>
      <c r="G20" s="68"/>
      <c r="H20" s="69"/>
      <c r="I20" s="28"/>
      <c r="J20" s="13"/>
    </row>
    <row r="21" spans="1:10" ht="15" customHeight="1">
      <c r="A21" s="70" t="s">
        <v>328</v>
      </c>
      <c r="B21" s="71"/>
      <c r="C21" s="27">
        <f>SUM('Stavební rozpočet'!P12:P127)</f>
        <v>0</v>
      </c>
      <c r="D21" s="68"/>
      <c r="E21" s="69"/>
      <c r="F21" s="28"/>
      <c r="G21" s="68"/>
      <c r="H21" s="69"/>
      <c r="I21" s="28"/>
      <c r="J21" s="13"/>
    </row>
    <row r="22" spans="1:10" ht="16.5" customHeight="1">
      <c r="A22" s="70" t="s">
        <v>329</v>
      </c>
      <c r="B22" s="71"/>
      <c r="C22" s="27">
        <f>ROUND(SUM(C14:C21),0)</f>
        <v>0</v>
      </c>
      <c r="D22" s="70" t="s">
        <v>342</v>
      </c>
      <c r="E22" s="71"/>
      <c r="F22" s="27">
        <f>SUM(F14:F21)</f>
        <v>0</v>
      </c>
      <c r="G22" s="70" t="s">
        <v>355</v>
      </c>
      <c r="H22" s="71"/>
      <c r="I22" s="27">
        <f>SUM(I14:I21)</f>
        <v>0</v>
      </c>
      <c r="J22" s="13"/>
    </row>
    <row r="23" spans="1:10" ht="15" customHeight="1">
      <c r="A23" s="3"/>
      <c r="B23" s="3"/>
      <c r="C23" s="25"/>
      <c r="D23" s="70" t="s">
        <v>343</v>
      </c>
      <c r="E23" s="71"/>
      <c r="F23" s="29">
        <v>0</v>
      </c>
      <c r="G23" s="70" t="s">
        <v>356</v>
      </c>
      <c r="H23" s="71"/>
      <c r="I23" s="27">
        <v>0</v>
      </c>
      <c r="J23" s="13"/>
    </row>
    <row r="24" spans="4:9" ht="15" customHeight="1">
      <c r="D24" s="3"/>
      <c r="E24" s="3"/>
      <c r="F24" s="30"/>
      <c r="G24" s="70" t="s">
        <v>357</v>
      </c>
      <c r="H24" s="71"/>
      <c r="I24" s="32"/>
    </row>
    <row r="25" spans="6:10" ht="15" customHeight="1">
      <c r="F25" s="31"/>
      <c r="G25" s="70" t="s">
        <v>358</v>
      </c>
      <c r="H25" s="71"/>
      <c r="I25" s="27">
        <v>0</v>
      </c>
      <c r="J25" s="13"/>
    </row>
    <row r="26" spans="1:9" ht="12.75">
      <c r="A26" s="2"/>
      <c r="B26" s="2"/>
      <c r="C26" s="2"/>
      <c r="G26" s="3"/>
      <c r="H26" s="3"/>
      <c r="I26" s="3"/>
    </row>
    <row r="27" spans="1:9" ht="15" customHeight="1">
      <c r="A27" s="72" t="s">
        <v>330</v>
      </c>
      <c r="B27" s="73"/>
      <c r="C27" s="33">
        <f>ROUND(SUM('Stavební rozpočet'!Z12:Z127),0)</f>
        <v>0</v>
      </c>
      <c r="D27" s="26"/>
      <c r="E27" s="2"/>
      <c r="F27" s="2"/>
      <c r="G27" s="2"/>
      <c r="H27" s="2"/>
      <c r="I27" s="2"/>
    </row>
    <row r="28" spans="1:10" ht="15" customHeight="1">
      <c r="A28" s="72" t="s">
        <v>331</v>
      </c>
      <c r="B28" s="73"/>
      <c r="C28" s="33">
        <f>ROUND(SUM('Stavební rozpočet'!AA12:AA127),0)</f>
        <v>0</v>
      </c>
      <c r="D28" s="72" t="s">
        <v>344</v>
      </c>
      <c r="E28" s="73"/>
      <c r="F28" s="33">
        <f>ROUND(C28*(15/100),2)</f>
        <v>0</v>
      </c>
      <c r="G28" s="72" t="s">
        <v>359</v>
      </c>
      <c r="H28" s="73"/>
      <c r="I28" s="33">
        <f>ROUND(SUM(C27:C29),0)</f>
        <v>0</v>
      </c>
      <c r="J28" s="13"/>
    </row>
    <row r="29" spans="1:10" ht="15" customHeight="1">
      <c r="A29" s="72" t="s">
        <v>332</v>
      </c>
      <c r="B29" s="73"/>
      <c r="C29" s="33">
        <f>ROUND(SUM('Stavební rozpočet'!AB12:AB127)+(F22+I22+F23+I23+I24+I25),0)</f>
        <v>0</v>
      </c>
      <c r="D29" s="72" t="s">
        <v>345</v>
      </c>
      <c r="E29" s="73"/>
      <c r="F29" s="33">
        <f>ROUND(C29*(21/100),2)</f>
        <v>0</v>
      </c>
      <c r="G29" s="72" t="s">
        <v>360</v>
      </c>
      <c r="H29" s="73"/>
      <c r="I29" s="33">
        <f>ROUND(SUM(F28:F29)+I28,0)</f>
        <v>0</v>
      </c>
      <c r="J29" s="13"/>
    </row>
    <row r="30" spans="1:9" ht="12.75">
      <c r="A30" s="21"/>
      <c r="B30" s="21"/>
      <c r="C30" s="21"/>
      <c r="D30" s="21"/>
      <c r="E30" s="21"/>
      <c r="F30" s="21"/>
      <c r="G30" s="21"/>
      <c r="H30" s="21"/>
      <c r="I30" s="21"/>
    </row>
    <row r="31" spans="1:10" ht="14.25" customHeight="1">
      <c r="A31" s="74" t="s">
        <v>333</v>
      </c>
      <c r="B31" s="75"/>
      <c r="C31" s="76"/>
      <c r="D31" s="74" t="s">
        <v>346</v>
      </c>
      <c r="E31" s="75"/>
      <c r="F31" s="76"/>
      <c r="G31" s="74" t="s">
        <v>361</v>
      </c>
      <c r="H31" s="75"/>
      <c r="I31" s="76"/>
      <c r="J31" s="14"/>
    </row>
    <row r="32" spans="1:10" ht="14.25" customHeight="1">
      <c r="A32" s="77"/>
      <c r="B32" s="78"/>
      <c r="C32" s="79"/>
      <c r="D32" s="77"/>
      <c r="E32" s="78"/>
      <c r="F32" s="79"/>
      <c r="G32" s="77"/>
      <c r="H32" s="78"/>
      <c r="I32" s="79"/>
      <c r="J32" s="14"/>
    </row>
    <row r="33" spans="1:10" ht="14.25" customHeight="1">
      <c r="A33" s="77"/>
      <c r="B33" s="78"/>
      <c r="C33" s="79"/>
      <c r="D33" s="77"/>
      <c r="E33" s="78"/>
      <c r="F33" s="79"/>
      <c r="G33" s="77"/>
      <c r="H33" s="78"/>
      <c r="I33" s="79"/>
      <c r="J33" s="14"/>
    </row>
    <row r="34" spans="1:10" ht="14.25" customHeight="1">
      <c r="A34" s="77"/>
      <c r="B34" s="78"/>
      <c r="C34" s="79"/>
      <c r="D34" s="77"/>
      <c r="E34" s="78"/>
      <c r="F34" s="79"/>
      <c r="G34" s="77"/>
      <c r="H34" s="78"/>
      <c r="I34" s="79"/>
      <c r="J34" s="14"/>
    </row>
    <row r="35" spans="1:10" ht="14.25" customHeight="1">
      <c r="A35" s="80" t="s">
        <v>334</v>
      </c>
      <c r="B35" s="81"/>
      <c r="C35" s="82"/>
      <c r="D35" s="80" t="s">
        <v>334</v>
      </c>
      <c r="E35" s="81"/>
      <c r="F35" s="82"/>
      <c r="G35" s="80" t="s">
        <v>334</v>
      </c>
      <c r="H35" s="81"/>
      <c r="I35" s="82"/>
      <c r="J35" s="14"/>
    </row>
    <row r="36" spans="1:9" ht="11.25" customHeight="1">
      <c r="A36" s="22" t="s">
        <v>64</v>
      </c>
      <c r="B36" s="24"/>
      <c r="C36" s="24"/>
      <c r="D36" s="24"/>
      <c r="E36" s="24"/>
      <c r="F36" s="24"/>
      <c r="G36" s="24"/>
      <c r="H36" s="24"/>
      <c r="I36" s="24"/>
    </row>
    <row r="37" spans="1:9" ht="12.75">
      <c r="A37" s="48"/>
      <c r="B37" s="40"/>
      <c r="C37" s="40"/>
      <c r="D37" s="40"/>
      <c r="E37" s="40"/>
      <c r="F37" s="40"/>
      <c r="G37" s="40"/>
      <c r="H37" s="40"/>
      <c r="I37" s="40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2018-06-26T09:21:16Z</dcterms:created>
  <dcterms:modified xsi:type="dcterms:W3CDTF">2018-06-26T09:21:23Z</dcterms:modified>
  <cp:category/>
  <cp:version/>
  <cp:contentType/>
  <cp:contentStatus/>
</cp:coreProperties>
</file>